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emigbr.sharepoint.com/sites/RI905/Documentos Compartilhados/MERCADO INVESTIDOR/Informações Trimestrais RI/2026/Informações Trimestrais 2T26/ITRs/Planilhas interativas/"/>
    </mc:Choice>
  </mc:AlternateContent>
  <xr:revisionPtr revIDLastSave="16283" documentId="8_{A881C1A8-6B0D-4AD1-B5DE-01F4EBF644D6}" xr6:coauthVersionLast="47" xr6:coauthVersionMax="47" xr10:uidLastSave="{FD10CF8C-B4DB-45CE-AEDD-E32B82E9F329}"/>
  <bookViews>
    <workbookView xWindow="-110" yWindow="-110" windowWidth="19420" windowHeight="11500" tabRatio="839" xr2:uid="{3E90CA91-5730-41FA-8EDC-EC12B4C1D832}"/>
  </bookViews>
  <sheets>
    <sheet name="MENU" sheetId="53" r:id="rId1"/>
    <sheet name="DRE" sheetId="43" r:id="rId2"/>
    <sheet name="EBITDA" sheetId="56" r:id="rId3"/>
    <sheet name="Resultado financeiro" sheetId="50" r:id="rId4"/>
    <sheet name="DRE por segmento" sheetId="64" r:id="rId5"/>
    <sheet name="BP" sheetId="46" r:id="rId6"/>
    <sheet name="DFC" sheetId="49" r:id="rId7"/>
    <sheet name="Endividamento" sheetId="60" r:id="rId8"/>
    <sheet name="Investimentos" sheetId="59" r:id="rId9"/>
    <sheet name="Usinas" sheetId="25" r:id="rId10"/>
    <sheet name="Balanço de Energia" sheetId="63" r:id="rId11"/>
    <sheet name="Vendas por classe" sheetId="35" r:id="rId12"/>
    <sheet name="Energia comprada para revenda" sheetId="61" r:id="rId13"/>
    <sheet name="RAP" sheetId="65" r:id="rId14"/>
    <sheet name="CEMIG D" sheetId="66" r:id="rId15"/>
    <sheet name="Indicadores CEMIG D" sheetId="62" r:id="rId16"/>
  </sheets>
  <definedNames>
    <definedName name="_xlnm._FilterDatabase" localSheetId="9" hidden="1">Usinas!$B$7:$G$51</definedName>
    <definedName name="_xlcn.WorksheetConnection_teste_atualizado1.xlsmTabela290620161" hidden="1">#REF!</definedName>
    <definedName name="_xlcn.WorksheetConnection_teste_atualizado1.xlsxTabela11" hidden="1">#REF!</definedName>
    <definedName name="Tabela20042017">#REF!</definedName>
    <definedName name="Tabela29062016">#REF!</definedName>
    <definedName name="Tabela31032017">#REF!</definedName>
    <definedName name="Timeline_Operação_Comercial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324" i="60" l="1"/>
  <c r="BF324" i="60"/>
  <c r="BG324" i="60"/>
  <c r="BH324" i="60"/>
  <c r="BI324" i="60"/>
  <c r="BJ324" i="60"/>
  <c r="BK324" i="60"/>
  <c r="BL324" i="60"/>
  <c r="BM324" i="60"/>
  <c r="BN324" i="60"/>
  <c r="BO324" i="60"/>
  <c r="BP324" i="60"/>
  <c r="BQ324" i="60"/>
  <c r="BR324" i="60"/>
  <c r="BS324" i="60"/>
  <c r="BT324" i="60"/>
  <c r="BU324" i="60"/>
  <c r="BV324" i="60"/>
  <c r="BW324" i="60"/>
  <c r="BX324" i="60"/>
  <c r="BY324" i="60"/>
  <c r="BZ324" i="60"/>
  <c r="CA324" i="60"/>
  <c r="CB324" i="60"/>
  <c r="CC324" i="60"/>
  <c r="BD324" i="60"/>
  <c r="D1086" i="49" l="1"/>
  <c r="C1086" i="49"/>
  <c r="C1093" i="49" l="1"/>
  <c r="BS359" i="49"/>
  <c r="B11" i="49"/>
  <c r="BS343" i="49"/>
  <c r="BT359" i="49"/>
  <c r="BS352" i="49"/>
  <c r="BN346" i="49" l="1"/>
  <c r="B96" i="49"/>
  <c r="BU359" i="49"/>
  <c r="BV359" i="49"/>
  <c r="BW359" i="49"/>
  <c r="BX359" i="49"/>
  <c r="BY359" i="49"/>
  <c r="BZ359" i="49"/>
  <c r="CA359" i="49"/>
  <c r="CB359" i="49"/>
  <c r="CC359" i="49"/>
  <c r="CD359" i="49"/>
  <c r="CE359" i="49"/>
  <c r="CF359" i="49"/>
  <c r="CG359" i="49"/>
  <c r="CH359" i="49"/>
  <c r="CI359" i="49"/>
  <c r="CJ359" i="49"/>
  <c r="CK359" i="49"/>
  <c r="CL359" i="49"/>
  <c r="CM359" i="49"/>
  <c r="CN359" i="49"/>
  <c r="CO359" i="49"/>
  <c r="CP359" i="49"/>
  <c r="CQ359" i="49"/>
  <c r="CR359" i="49"/>
  <c r="BT352" i="49"/>
  <c r="BU352" i="49"/>
  <c r="BV352" i="49"/>
  <c r="BW352" i="49"/>
  <c r="BX352" i="49"/>
  <c r="BY352" i="49"/>
  <c r="BZ352" i="49"/>
  <c r="CA352" i="49"/>
  <c r="CB352" i="49"/>
  <c r="CC352" i="49"/>
  <c r="CD352" i="49"/>
  <c r="CE352" i="49"/>
  <c r="CF352" i="49"/>
  <c r="CG352" i="49"/>
  <c r="CH352" i="49"/>
  <c r="CI352" i="49"/>
  <c r="CJ352" i="49"/>
  <c r="CK352" i="49"/>
  <c r="CL352" i="49"/>
  <c r="CM352" i="49"/>
  <c r="CN352" i="49"/>
  <c r="CO352" i="49"/>
  <c r="CP352" i="49"/>
  <c r="CQ352" i="49"/>
  <c r="CR352" i="49"/>
  <c r="G2021" i="46" l="1"/>
  <c r="B2035" i="46"/>
  <c r="BD334" i="60"/>
  <c r="H51" i="60"/>
  <c r="BD333" i="60" l="1"/>
  <c r="BD338" i="60" s="1"/>
  <c r="CC334" i="60"/>
  <c r="CB334" i="60"/>
  <c r="CB333" i="60" s="1"/>
  <c r="CB338" i="60" s="1"/>
  <c r="CA334" i="60"/>
  <c r="CA333" i="60" s="1"/>
  <c r="CA338" i="60" s="1"/>
  <c r="BZ334" i="60"/>
  <c r="BZ333" i="60" s="1"/>
  <c r="BZ338" i="60" s="1"/>
  <c r="BY334" i="60"/>
  <c r="BY333" i="60" s="1"/>
  <c r="BY338" i="60" s="1"/>
  <c r="BX334" i="60"/>
  <c r="BX333" i="60" s="1"/>
  <c r="BX338" i="60" s="1"/>
  <c r="BW334" i="60"/>
  <c r="BW333" i="60" s="1"/>
  <c r="BW338" i="60" s="1"/>
  <c r="BV334" i="60"/>
  <c r="BV333" i="60" s="1"/>
  <c r="BV338" i="60" s="1"/>
  <c r="BU334" i="60"/>
  <c r="BT334" i="60"/>
  <c r="BT333" i="60" s="1"/>
  <c r="BT338" i="60" s="1"/>
  <c r="BS334" i="60"/>
  <c r="BS333" i="60" s="1"/>
  <c r="BS338" i="60" s="1"/>
  <c r="BR334" i="60"/>
  <c r="BR333" i="60" s="1"/>
  <c r="BR338" i="60" s="1"/>
  <c r="BQ334" i="60"/>
  <c r="BP334" i="60"/>
  <c r="BP333" i="60" s="1"/>
  <c r="BP338" i="60" s="1"/>
  <c r="BO334" i="60"/>
  <c r="BO333" i="60" s="1"/>
  <c r="BO338" i="60" s="1"/>
  <c r="BN334" i="60"/>
  <c r="BN333" i="60" s="1"/>
  <c r="BN338" i="60" s="1"/>
  <c r="BM334" i="60"/>
  <c r="BM333" i="60" s="1"/>
  <c r="BM338" i="60" s="1"/>
  <c r="BL334" i="60"/>
  <c r="BL333" i="60" s="1"/>
  <c r="BL338" i="60" s="1"/>
  <c r="BK334" i="60"/>
  <c r="BK333" i="60" s="1"/>
  <c r="BK338" i="60" s="1"/>
  <c r="BJ334" i="60"/>
  <c r="BJ333" i="60" s="1"/>
  <c r="BJ338" i="60" s="1"/>
  <c r="BI334" i="60"/>
  <c r="BI333" i="60" s="1"/>
  <c r="BI338" i="60" s="1"/>
  <c r="BH334" i="60"/>
  <c r="BH333" i="60" s="1"/>
  <c r="BH338" i="60" s="1"/>
  <c r="BG334" i="60"/>
  <c r="BG333" i="60" s="1"/>
  <c r="BG338" i="60" s="1"/>
  <c r="BF334" i="60"/>
  <c r="BF333" i="60" s="1"/>
  <c r="BF338" i="60" s="1"/>
  <c r="BE334" i="60"/>
  <c r="BE333" i="60" s="1"/>
  <c r="BE338" i="60" s="1"/>
  <c r="CC333" i="60"/>
  <c r="CC338" i="60" s="1"/>
  <c r="BU333" i="60"/>
  <c r="BU338" i="60" s="1"/>
  <c r="BQ333" i="60"/>
  <c r="BQ338" i="60" s="1"/>
  <c r="CC320" i="60"/>
  <c r="CC319" i="60" s="1"/>
  <c r="CB320" i="60"/>
  <c r="CB319" i="60" s="1"/>
  <c r="CA320" i="60"/>
  <c r="BZ320" i="60"/>
  <c r="BY320" i="60"/>
  <c r="BY319" i="60" s="1"/>
  <c r="BX320" i="60"/>
  <c r="BX319" i="60" s="1"/>
  <c r="BW320" i="60"/>
  <c r="BV320" i="60"/>
  <c r="BV319" i="60" s="1"/>
  <c r="BU320" i="60"/>
  <c r="BU319" i="60" s="1"/>
  <c r="BT320" i="60"/>
  <c r="BT319" i="60" s="1"/>
  <c r="BS320" i="60"/>
  <c r="BR320" i="60"/>
  <c r="BQ320" i="60"/>
  <c r="BQ319" i="60" s="1"/>
  <c r="BP320" i="60"/>
  <c r="BP319" i="60" s="1"/>
  <c r="BO320" i="60"/>
  <c r="BN320" i="60"/>
  <c r="BN319" i="60" s="1"/>
  <c r="BM320" i="60"/>
  <c r="BM319" i="60" s="1"/>
  <c r="BL320" i="60"/>
  <c r="BL319" i="60" s="1"/>
  <c r="BK320" i="60"/>
  <c r="BJ320" i="60"/>
  <c r="BI320" i="60"/>
  <c r="BI319" i="60" s="1"/>
  <c r="BH320" i="60"/>
  <c r="BH319" i="60" s="1"/>
  <c r="BG320" i="60"/>
  <c r="BF320" i="60"/>
  <c r="BF319" i="60" s="1"/>
  <c r="BE320" i="60"/>
  <c r="BE319" i="60" s="1"/>
  <c r="BD320" i="60"/>
  <c r="BD319" i="60" s="1"/>
  <c r="CA319" i="60"/>
  <c r="BZ319" i="60"/>
  <c r="BW319" i="60"/>
  <c r="BS319" i="60"/>
  <c r="BR319" i="60"/>
  <c r="BO319" i="60"/>
  <c r="BK319" i="60"/>
  <c r="BJ319" i="60"/>
  <c r="BG319" i="60"/>
  <c r="D1093" i="49" l="1"/>
  <c r="D2089" i="49"/>
  <c r="C2089" i="49"/>
  <c r="B13" i="43"/>
  <c r="B3058" i="43"/>
  <c r="BN341" i="49" l="1"/>
  <c r="B91" i="49"/>
  <c r="B63" i="49" l="1"/>
  <c r="B58" i="43"/>
  <c r="I8" i="60"/>
  <c r="BD307" i="60" s="1"/>
  <c r="G1906" i="56"/>
  <c r="G1907" i="56"/>
  <c r="G1908" i="56"/>
  <c r="G1909" i="56"/>
  <c r="G1912" i="56"/>
  <c r="G1911" i="56"/>
  <c r="D11" i="35"/>
  <c r="E9" i="65" l="1"/>
  <c r="F9" i="65"/>
  <c r="D9" i="25" l="1"/>
  <c r="C2075" i="49"/>
  <c r="D2082" i="49"/>
  <c r="C1036" i="49"/>
  <c r="D1045" i="49"/>
  <c r="C1045" i="49"/>
  <c r="BS304" i="49"/>
  <c r="BT343" i="49"/>
  <c r="BU343" i="49"/>
  <c r="BV343" i="49"/>
  <c r="BW343" i="49"/>
  <c r="BX343" i="49"/>
  <c r="BY343" i="49"/>
  <c r="BZ343" i="49"/>
  <c r="CA343" i="49"/>
  <c r="CB343" i="49"/>
  <c r="CC343" i="49"/>
  <c r="CD343" i="49"/>
  <c r="CE343" i="49"/>
  <c r="CF343" i="49"/>
  <c r="CG343" i="49"/>
  <c r="CH343" i="49"/>
  <c r="CI343" i="49"/>
  <c r="CJ343" i="49"/>
  <c r="CK343" i="49"/>
  <c r="CL343" i="49"/>
  <c r="CM343" i="49"/>
  <c r="CN343" i="49"/>
  <c r="CO343" i="49"/>
  <c r="CP343" i="49"/>
  <c r="CQ343" i="49"/>
  <c r="CR343" i="49"/>
  <c r="C15" i="63" l="1"/>
  <c r="C25" i="63" s="1"/>
  <c r="C10" i="63"/>
  <c r="G51" i="63"/>
  <c r="G59" i="63" s="1"/>
  <c r="C51" i="63"/>
  <c r="C61" i="63" s="1"/>
  <c r="C33" i="63"/>
  <c r="G15" i="63"/>
  <c r="B2023" i="46" l="1"/>
  <c r="B2024" i="46"/>
  <c r="B2025" i="46"/>
  <c r="B2022" i="46"/>
  <c r="G1029" i="46"/>
  <c r="G1030" i="46"/>
  <c r="B23" i="46"/>
  <c r="B22" i="46"/>
  <c r="BP364" i="46"/>
  <c r="BK219" i="46" l="1"/>
  <c r="BP372" i="46" l="1"/>
  <c r="BQ372" i="46"/>
  <c r="BK383" i="46"/>
  <c r="BK342" i="46"/>
  <c r="BK343" i="46"/>
  <c r="BP277" i="46"/>
  <c r="BP222" i="46"/>
  <c r="BP221" i="46" s="1"/>
  <c r="BN346" i="50"/>
  <c r="B2030" i="50"/>
  <c r="B2031" i="50"/>
  <c r="G1924" i="56"/>
  <c r="BW415" i="43"/>
  <c r="BW419" i="43"/>
  <c r="BW406" i="43"/>
  <c r="BW386" i="43" s="1"/>
  <c r="BW374" i="43"/>
  <c r="BW414" i="43" l="1"/>
  <c r="BW418" i="43" s="1"/>
  <c r="BW422" i="43" s="1"/>
  <c r="J53" i="64"/>
  <c r="C53" i="64"/>
  <c r="F53" i="64"/>
  <c r="I54" i="64"/>
  <c r="K54" i="64" s="1"/>
  <c r="I55" i="64"/>
  <c r="K55" i="64" s="1"/>
  <c r="I56" i="64"/>
  <c r="K56" i="64" s="1"/>
  <c r="I57" i="64"/>
  <c r="K57" i="64" s="1"/>
  <c r="I58" i="64"/>
  <c r="K58" i="64" s="1"/>
  <c r="I59" i="64"/>
  <c r="I60" i="64"/>
  <c r="I61" i="64"/>
  <c r="K61" i="64" s="1"/>
  <c r="I62" i="64"/>
  <c r="K62" i="64" s="1"/>
  <c r="I74" i="64"/>
  <c r="K74" i="64" s="1"/>
  <c r="I73" i="64"/>
  <c r="K73" i="64" s="1"/>
  <c r="I71" i="64"/>
  <c r="K71" i="64" s="1"/>
  <c r="I69" i="64"/>
  <c r="K69" i="64" s="1"/>
  <c r="K60" i="64"/>
  <c r="I66" i="64"/>
  <c r="K66" i="64" s="1"/>
  <c r="K63" i="64"/>
  <c r="K59" i="64"/>
  <c r="H53" i="64"/>
  <c r="G53" i="64"/>
  <c r="G64" i="64" s="1"/>
  <c r="E53" i="64"/>
  <c r="D53" i="64"/>
  <c r="I51" i="64"/>
  <c r="K51" i="64" s="1"/>
  <c r="I50" i="64"/>
  <c r="K50" i="64" s="1"/>
  <c r="J49" i="64"/>
  <c r="H49" i="64"/>
  <c r="G49" i="64"/>
  <c r="F49" i="64"/>
  <c r="E49" i="64"/>
  <c r="D49" i="64"/>
  <c r="C49" i="64"/>
  <c r="I47" i="64"/>
  <c r="K47" i="64" s="1"/>
  <c r="I46" i="64"/>
  <c r="J45" i="64"/>
  <c r="H45" i="64"/>
  <c r="G45" i="64"/>
  <c r="F45" i="64"/>
  <c r="E45" i="64"/>
  <c r="D45" i="64"/>
  <c r="C45" i="64"/>
  <c r="J17" i="64"/>
  <c r="D17" i="64"/>
  <c r="E17" i="64"/>
  <c r="F17" i="64"/>
  <c r="G17" i="64"/>
  <c r="H17" i="64"/>
  <c r="C17" i="64"/>
  <c r="BN318" i="50"/>
  <c r="B1035" i="50"/>
  <c r="B1036" i="50"/>
  <c r="CA358" i="43"/>
  <c r="BS305" i="50"/>
  <c r="BN317" i="50"/>
  <c r="BW362" i="43"/>
  <c r="BW358" i="43"/>
  <c r="BW355" i="43"/>
  <c r="BW329" i="43"/>
  <c r="B36" i="50"/>
  <c r="BS267" i="50"/>
  <c r="BS252" i="50"/>
  <c r="BN278" i="50"/>
  <c r="BW313" i="43"/>
  <c r="BW309" i="43"/>
  <c r="BX298" i="43"/>
  <c r="BW298" i="43"/>
  <c r="BW257" i="43"/>
  <c r="C28" i="56"/>
  <c r="D28" i="56"/>
  <c r="E28" i="56"/>
  <c r="F28" i="56"/>
  <c r="G28" i="56"/>
  <c r="H28" i="56"/>
  <c r="I32" i="56"/>
  <c r="BW262" i="43"/>
  <c r="BX262" i="43"/>
  <c r="I45" i="64" l="1"/>
  <c r="K45" i="64" s="1"/>
  <c r="J64" i="64"/>
  <c r="C64" i="64"/>
  <c r="C68" i="64" s="1"/>
  <c r="C70" i="64" s="1"/>
  <c r="G68" i="64"/>
  <c r="G70" i="64" s="1"/>
  <c r="G72" i="64" s="1"/>
  <c r="K46" i="64"/>
  <c r="D64" i="64"/>
  <c r="D68" i="64" s="1"/>
  <c r="D70" i="64" s="1"/>
  <c r="D72" i="64" s="1"/>
  <c r="H64" i="64"/>
  <c r="H68" i="64" s="1"/>
  <c r="H70" i="64" s="1"/>
  <c r="H72" i="64" s="1"/>
  <c r="E64" i="64"/>
  <c r="E68" i="64" s="1"/>
  <c r="E70" i="64" s="1"/>
  <c r="E72" i="64" s="1"/>
  <c r="F64" i="64"/>
  <c r="F68" i="64" s="1"/>
  <c r="F70" i="64" s="1"/>
  <c r="F72" i="64" s="1"/>
  <c r="I49" i="64"/>
  <c r="K49" i="64" s="1"/>
  <c r="I53" i="64"/>
  <c r="BS286" i="50"/>
  <c r="BW340" i="43"/>
  <c r="BW357" i="43" s="1"/>
  <c r="BW361" i="43" s="1"/>
  <c r="BW365" i="43" s="1"/>
  <c r="BW278" i="43"/>
  <c r="BW308" i="43" s="1"/>
  <c r="BW312" i="43" s="1"/>
  <c r="BW316" i="43" s="1"/>
  <c r="I28" i="56"/>
  <c r="C9" i="35"/>
  <c r="I68" i="64" l="1"/>
  <c r="K68" i="64" s="1"/>
  <c r="I64" i="64"/>
  <c r="K64" i="64" s="1"/>
  <c r="K53" i="64"/>
  <c r="C72" i="64"/>
  <c r="I72" i="64" s="1"/>
  <c r="K72" i="64" s="1"/>
  <c r="I70" i="64"/>
  <c r="K70" i="64" s="1"/>
  <c r="D2047" i="35"/>
  <c r="C2047" i="35"/>
  <c r="E2047" i="35" s="1"/>
  <c r="CM325" i="35"/>
  <c r="E2046" i="35"/>
  <c r="E2045" i="35"/>
  <c r="E2037" i="35"/>
  <c r="CM320" i="35"/>
  <c r="CM308" i="35"/>
  <c r="CM305" i="35"/>
  <c r="CM317" i="35"/>
  <c r="CM321" i="35" s="1"/>
  <c r="CM314" i="35"/>
  <c r="CM311" i="35"/>
  <c r="C2039" i="35"/>
  <c r="C2027" i="35"/>
  <c r="C2030" i="35"/>
  <c r="C2033" i="35"/>
  <c r="C2036" i="35"/>
  <c r="CM337" i="35"/>
  <c r="CM341" i="35" s="1"/>
  <c r="CM343" i="35" s="1"/>
  <c r="CM322" i="35" l="1"/>
  <c r="CM326" i="35" s="1"/>
  <c r="CM368" i="35"/>
  <c r="CM370" i="35" s="1"/>
  <c r="CM373" i="35" s="1"/>
  <c r="C11" i="35"/>
  <c r="C21" i="35"/>
  <c r="C20" i="35"/>
  <c r="C18" i="35"/>
  <c r="C17" i="35"/>
  <c r="C10" i="35"/>
  <c r="C12" i="35"/>
  <c r="C13" i="35"/>
  <c r="C14" i="35"/>
  <c r="C15" i="35"/>
  <c r="D9" i="35"/>
  <c r="CM355" i="35"/>
  <c r="CM357" i="35" s="1"/>
  <c r="CM360" i="35" s="1"/>
  <c r="C16" i="35" l="1"/>
  <c r="C19" i="35" s="1"/>
  <c r="BD306" i="60"/>
  <c r="G23" i="60"/>
  <c r="F23" i="60"/>
  <c r="I29" i="60"/>
  <c r="I51" i="60"/>
  <c r="G51" i="60"/>
  <c r="F51" i="60"/>
  <c r="H29" i="60"/>
  <c r="G29" i="60"/>
  <c r="F29" i="60"/>
  <c r="I23" i="60"/>
  <c r="H25" i="60"/>
  <c r="D9" i="60"/>
  <c r="E9" i="60"/>
  <c r="F9" i="60"/>
  <c r="G9" i="60"/>
  <c r="H9" i="60"/>
  <c r="H23" i="60" l="1"/>
  <c r="E35" i="25"/>
  <c r="D35" i="25"/>
  <c r="E43" i="25"/>
  <c r="D43" i="25"/>
  <c r="D42" i="25" l="1"/>
  <c r="E9" i="25"/>
  <c r="C24" i="65"/>
  <c r="G14" i="65"/>
  <c r="G13" i="65"/>
  <c r="B10" i="43"/>
  <c r="D2027" i="35"/>
  <c r="D2030" i="35"/>
  <c r="D2033" i="35"/>
  <c r="D2036" i="35"/>
  <c r="G11" i="65" l="1"/>
  <c r="G12" i="65"/>
  <c r="G10" i="65"/>
  <c r="G9" i="65" s="1"/>
  <c r="G16" i="65" s="1"/>
  <c r="BP218" i="59"/>
  <c r="BQ218" i="59"/>
  <c r="BT249" i="56" l="1"/>
  <c r="BU249" i="56"/>
  <c r="BT239" i="56"/>
  <c r="BU239" i="56"/>
  <c r="BT229" i="56"/>
  <c r="BU229" i="56"/>
  <c r="BC313" i="61"/>
  <c r="BD313" i="61"/>
  <c r="D21" i="35"/>
  <c r="D20" i="35"/>
  <c r="D18" i="35"/>
  <c r="D17" i="35"/>
  <c r="D10" i="35"/>
  <c r="D12" i="35"/>
  <c r="D13" i="35"/>
  <c r="D14" i="35"/>
  <c r="D15" i="35"/>
  <c r="CO368" i="35"/>
  <c r="CO370" i="35" s="1"/>
  <c r="CO373" i="35" s="1"/>
  <c r="CP368" i="35"/>
  <c r="CP370" i="35" s="1"/>
  <c r="CP373" i="35" s="1"/>
  <c r="CQ368" i="35"/>
  <c r="CQ370" i="35" s="1"/>
  <c r="CQ373" i="35" s="1"/>
  <c r="CR368" i="35"/>
  <c r="CR370" i="35" s="1"/>
  <c r="CR373" i="35" s="1"/>
  <c r="CS368" i="35"/>
  <c r="CS370" i="35" s="1"/>
  <c r="CS373" i="35" s="1"/>
  <c r="CT368" i="35"/>
  <c r="CT370" i="35" s="1"/>
  <c r="CT373" i="35" s="1"/>
  <c r="CU368" i="35"/>
  <c r="CU370" i="35" s="1"/>
  <c r="CU373" i="35" s="1"/>
  <c r="CV368" i="35"/>
  <c r="CV370" i="35" s="1"/>
  <c r="CV373" i="35" s="1"/>
  <c r="CW368" i="35"/>
  <c r="CW370" i="35" s="1"/>
  <c r="CW373" i="35" s="1"/>
  <c r="CX368" i="35"/>
  <c r="CX370" i="35" s="1"/>
  <c r="CX373" i="35" s="1"/>
  <c r="CY368" i="35"/>
  <c r="CY370" i="35" s="1"/>
  <c r="CY373" i="35" s="1"/>
  <c r="CZ368" i="35"/>
  <c r="CZ370" i="35" s="1"/>
  <c r="CZ373" i="35" s="1"/>
  <c r="DA368" i="35"/>
  <c r="DA370" i="35" s="1"/>
  <c r="DA373" i="35" s="1"/>
  <c r="DB368" i="35"/>
  <c r="DB370" i="35" s="1"/>
  <c r="DB373" i="35" s="1"/>
  <c r="DC368" i="35"/>
  <c r="DC370" i="35" s="1"/>
  <c r="DC373" i="35" s="1"/>
  <c r="DD368" i="35"/>
  <c r="DD370" i="35" s="1"/>
  <c r="DD373" i="35" s="1"/>
  <c r="DE368" i="35"/>
  <c r="DE370" i="35" s="1"/>
  <c r="DE373" i="35" s="1"/>
  <c r="DF368" i="35"/>
  <c r="DF370" i="35" s="1"/>
  <c r="DF373" i="35" s="1"/>
  <c r="DG368" i="35"/>
  <c r="DG370" i="35" s="1"/>
  <c r="DG373" i="35" s="1"/>
  <c r="DH368" i="35"/>
  <c r="DH370" i="35" s="1"/>
  <c r="DH373" i="35" s="1"/>
  <c r="DI368" i="35"/>
  <c r="DI370" i="35" s="1"/>
  <c r="DI373" i="35" s="1"/>
  <c r="DJ368" i="35"/>
  <c r="DJ370" i="35" s="1"/>
  <c r="DJ373" i="35" s="1"/>
  <c r="DK368" i="35"/>
  <c r="DK370" i="35" s="1"/>
  <c r="DK373" i="35" s="1"/>
  <c r="DL368" i="35"/>
  <c r="DL370" i="35" s="1"/>
  <c r="DL373" i="35" s="1"/>
  <c r="CN368" i="35"/>
  <c r="CO355" i="35"/>
  <c r="CO357" i="35" s="1"/>
  <c r="CO360" i="35" s="1"/>
  <c r="CP355" i="35"/>
  <c r="CP357" i="35" s="1"/>
  <c r="CP360" i="35" s="1"/>
  <c r="CQ355" i="35"/>
  <c r="CQ357" i="35" s="1"/>
  <c r="CQ360" i="35" s="1"/>
  <c r="CR355" i="35"/>
  <c r="CR357" i="35" s="1"/>
  <c r="CR360" i="35" s="1"/>
  <c r="CS355" i="35"/>
  <c r="CS357" i="35" s="1"/>
  <c r="CS360" i="35" s="1"/>
  <c r="CT355" i="35"/>
  <c r="CT357" i="35" s="1"/>
  <c r="CT360" i="35" s="1"/>
  <c r="CU355" i="35"/>
  <c r="CU357" i="35" s="1"/>
  <c r="CU360" i="35" s="1"/>
  <c r="CV355" i="35"/>
  <c r="CV357" i="35" s="1"/>
  <c r="CV360" i="35" s="1"/>
  <c r="CW355" i="35"/>
  <c r="CW357" i="35" s="1"/>
  <c r="CW360" i="35" s="1"/>
  <c r="CX355" i="35"/>
  <c r="CX357" i="35" s="1"/>
  <c r="CX360" i="35" s="1"/>
  <c r="CY355" i="35"/>
  <c r="CY357" i="35" s="1"/>
  <c r="CY360" i="35" s="1"/>
  <c r="CZ355" i="35"/>
  <c r="CZ357" i="35" s="1"/>
  <c r="CZ360" i="35" s="1"/>
  <c r="DA355" i="35"/>
  <c r="DA357" i="35" s="1"/>
  <c r="DA360" i="35" s="1"/>
  <c r="DB355" i="35"/>
  <c r="DB357" i="35" s="1"/>
  <c r="DB360" i="35" s="1"/>
  <c r="DC355" i="35"/>
  <c r="DC357" i="35" s="1"/>
  <c r="DC360" i="35" s="1"/>
  <c r="DD355" i="35"/>
  <c r="DD357" i="35" s="1"/>
  <c r="DD360" i="35" s="1"/>
  <c r="DE355" i="35"/>
  <c r="DE357" i="35" s="1"/>
  <c r="DE360" i="35" s="1"/>
  <c r="DF355" i="35"/>
  <c r="DF357" i="35" s="1"/>
  <c r="DF360" i="35" s="1"/>
  <c r="DG355" i="35"/>
  <c r="DG357" i="35" s="1"/>
  <c r="DG360" i="35" s="1"/>
  <c r="DH355" i="35"/>
  <c r="DH357" i="35" s="1"/>
  <c r="DH360" i="35" s="1"/>
  <c r="DI355" i="35"/>
  <c r="DI357" i="35" s="1"/>
  <c r="DI360" i="35" s="1"/>
  <c r="DJ355" i="35"/>
  <c r="DJ357" i="35" s="1"/>
  <c r="DJ360" i="35" s="1"/>
  <c r="DK355" i="35"/>
  <c r="DK357" i="35" s="1"/>
  <c r="DK360" i="35" s="1"/>
  <c r="DL355" i="35"/>
  <c r="DL357" i="35" s="1"/>
  <c r="DL360" i="35" s="1"/>
  <c r="CN355" i="35"/>
  <c r="CN357" i="35" s="1"/>
  <c r="CN360" i="35" s="1"/>
  <c r="CN291" i="35"/>
  <c r="CN294" i="35" s="1"/>
  <c r="CN297" i="35" s="1"/>
  <c r="CO291" i="35"/>
  <c r="CP291" i="35"/>
  <c r="CQ291" i="35"/>
  <c r="CR291" i="35"/>
  <c r="CS291" i="35"/>
  <c r="CT291" i="35"/>
  <c r="CU291" i="35"/>
  <c r="CV291" i="35"/>
  <c r="CW291" i="35"/>
  <c r="CX291" i="35"/>
  <c r="CY291" i="35"/>
  <c r="CZ291" i="35"/>
  <c r="DA291" i="35"/>
  <c r="DB291" i="35"/>
  <c r="DC291" i="35"/>
  <c r="DD291" i="35"/>
  <c r="DE291" i="35"/>
  <c r="DF291" i="35"/>
  <c r="DG291" i="35"/>
  <c r="DH291" i="35"/>
  <c r="DI291" i="35"/>
  <c r="DJ291" i="35"/>
  <c r="DK291" i="35"/>
  <c r="DL291" i="35"/>
  <c r="CO294" i="35"/>
  <c r="CO297" i="35" s="1"/>
  <c r="CP294" i="35"/>
  <c r="CP297" i="35" s="1"/>
  <c r="CQ294" i="35"/>
  <c r="CQ297" i="35" s="1"/>
  <c r="CR294" i="35"/>
  <c r="CR297" i="35" s="1"/>
  <c r="CS294" i="35"/>
  <c r="CS297" i="35" s="1"/>
  <c r="CT294" i="35"/>
  <c r="CT297" i="35" s="1"/>
  <c r="CU294" i="35"/>
  <c r="CU297" i="35" s="1"/>
  <c r="CV294" i="35"/>
  <c r="CV297" i="35" s="1"/>
  <c r="CW294" i="35"/>
  <c r="CW297" i="35" s="1"/>
  <c r="CX294" i="35"/>
  <c r="CX297" i="35" s="1"/>
  <c r="CY294" i="35"/>
  <c r="CY297" i="35" s="1"/>
  <c r="CZ294" i="35"/>
  <c r="CZ297" i="35" s="1"/>
  <c r="DA294" i="35"/>
  <c r="DA297" i="35" s="1"/>
  <c r="DB294" i="35"/>
  <c r="DB297" i="35" s="1"/>
  <c r="DC294" i="35"/>
  <c r="DC297" i="35" s="1"/>
  <c r="DD294" i="35"/>
  <c r="DD297" i="35" s="1"/>
  <c r="DE294" i="35"/>
  <c r="DE297" i="35" s="1"/>
  <c r="DF294" i="35"/>
  <c r="DF297" i="35" s="1"/>
  <c r="DG294" i="35"/>
  <c r="DG297" i="35" s="1"/>
  <c r="DH294" i="35"/>
  <c r="DH297" i="35" s="1"/>
  <c r="DI294" i="35"/>
  <c r="DI297" i="35" s="1"/>
  <c r="DJ294" i="35"/>
  <c r="DJ297" i="35" s="1"/>
  <c r="DK294" i="35"/>
  <c r="DK297" i="35" s="1"/>
  <c r="DL294" i="35"/>
  <c r="DL297" i="35" s="1"/>
  <c r="CM291" i="35"/>
  <c r="CM294" i="35" s="1"/>
  <c r="CM297" i="35" s="1"/>
  <c r="CM274" i="35"/>
  <c r="CM277" i="35" s="1"/>
  <c r="CM280" i="35" s="1"/>
  <c r="CN274" i="35"/>
  <c r="CN277" i="35" s="1"/>
  <c r="CN280" i="35" s="1"/>
  <c r="CP274" i="35"/>
  <c r="CP277" i="35" s="1"/>
  <c r="CP280" i="35" s="1"/>
  <c r="CQ274" i="35"/>
  <c r="CQ277" i="35" s="1"/>
  <c r="CQ280" i="35" s="1"/>
  <c r="CR274" i="35"/>
  <c r="CR277" i="35" s="1"/>
  <c r="CR280" i="35" s="1"/>
  <c r="CS274" i="35"/>
  <c r="CS277" i="35" s="1"/>
  <c r="CS280" i="35" s="1"/>
  <c r="CT274" i="35"/>
  <c r="CT277" i="35" s="1"/>
  <c r="CT280" i="35" s="1"/>
  <c r="CU274" i="35"/>
  <c r="CU277" i="35" s="1"/>
  <c r="CU280" i="35" s="1"/>
  <c r="CV274" i="35"/>
  <c r="CV277" i="35" s="1"/>
  <c r="CV280" i="35" s="1"/>
  <c r="CW274" i="35"/>
  <c r="CW277" i="35" s="1"/>
  <c r="CW280" i="35" s="1"/>
  <c r="CX274" i="35"/>
  <c r="CX277" i="35" s="1"/>
  <c r="CX280" i="35" s="1"/>
  <c r="CY274" i="35"/>
  <c r="CY277" i="35" s="1"/>
  <c r="CY280" i="35" s="1"/>
  <c r="CZ274" i="35"/>
  <c r="CZ277" i="35" s="1"/>
  <c r="CZ280" i="35" s="1"/>
  <c r="DA274" i="35"/>
  <c r="DA277" i="35" s="1"/>
  <c r="DA280" i="35" s="1"/>
  <c r="DB274" i="35"/>
  <c r="DB277" i="35" s="1"/>
  <c r="DB280" i="35" s="1"/>
  <c r="DC274" i="35"/>
  <c r="DC277" i="35" s="1"/>
  <c r="DC280" i="35" s="1"/>
  <c r="DD274" i="35"/>
  <c r="DD277" i="35" s="1"/>
  <c r="DD280" i="35" s="1"/>
  <c r="DE274" i="35"/>
  <c r="DE277" i="35" s="1"/>
  <c r="DE280" i="35" s="1"/>
  <c r="DF274" i="35"/>
  <c r="DF277" i="35" s="1"/>
  <c r="DF280" i="35" s="1"/>
  <c r="DG274" i="35"/>
  <c r="DG277" i="35" s="1"/>
  <c r="DG280" i="35" s="1"/>
  <c r="DH274" i="35"/>
  <c r="DH277" i="35" s="1"/>
  <c r="DH280" i="35" s="1"/>
  <c r="DI274" i="35"/>
  <c r="DI277" i="35" s="1"/>
  <c r="DI280" i="35" s="1"/>
  <c r="DJ274" i="35"/>
  <c r="DJ277" i="35" s="1"/>
  <c r="DJ280" i="35" s="1"/>
  <c r="DK274" i="35"/>
  <c r="DK277" i="35" s="1"/>
  <c r="DK280" i="35" s="1"/>
  <c r="DL274" i="35"/>
  <c r="DL277" i="35" s="1"/>
  <c r="DL280" i="35" s="1"/>
  <c r="CO274" i="35"/>
  <c r="CO277" i="35" s="1"/>
  <c r="CO280" i="35" s="1"/>
  <c r="CN370" i="35" l="1"/>
  <c r="CN373" i="35" s="1"/>
  <c r="CN363" i="35"/>
  <c r="CO363" i="35"/>
  <c r="CP363" i="35"/>
  <c r="CQ363" i="35"/>
  <c r="CR363" i="35"/>
  <c r="CS363" i="35"/>
  <c r="CT363" i="35"/>
  <c r="CU363" i="35"/>
  <c r="CV363" i="35"/>
  <c r="CW363" i="35"/>
  <c r="CX363" i="35"/>
  <c r="CY363" i="35"/>
  <c r="CZ363" i="35"/>
  <c r="DA363" i="35"/>
  <c r="DB363" i="35"/>
  <c r="DC363" i="35"/>
  <c r="DD363" i="35"/>
  <c r="DE363" i="35"/>
  <c r="DF363" i="35"/>
  <c r="DG363" i="35"/>
  <c r="DH363" i="35"/>
  <c r="DI363" i="35"/>
  <c r="DJ363" i="35"/>
  <c r="DK363" i="35"/>
  <c r="DL363" i="35"/>
  <c r="CM363" i="35"/>
  <c r="CN350" i="35"/>
  <c r="CO350" i="35"/>
  <c r="CP350" i="35"/>
  <c r="CQ350" i="35"/>
  <c r="CR350" i="35"/>
  <c r="CS350" i="35"/>
  <c r="CT350" i="35"/>
  <c r="CU350" i="35"/>
  <c r="CV350" i="35"/>
  <c r="CW350" i="35"/>
  <c r="CX350" i="35"/>
  <c r="CY350" i="35"/>
  <c r="CZ350" i="35"/>
  <c r="DA350" i="35"/>
  <c r="DB350" i="35"/>
  <c r="DC350" i="35"/>
  <c r="DD350" i="35"/>
  <c r="DE350" i="35"/>
  <c r="DF350" i="35"/>
  <c r="DG350" i="35"/>
  <c r="DH350" i="35"/>
  <c r="DI350" i="35"/>
  <c r="DJ350" i="35"/>
  <c r="DK350" i="35"/>
  <c r="DL350" i="35"/>
  <c r="CM350" i="35"/>
  <c r="CN329" i="35"/>
  <c r="CO329" i="35"/>
  <c r="CP329" i="35"/>
  <c r="CQ329" i="35"/>
  <c r="CR329" i="35"/>
  <c r="CS329" i="35"/>
  <c r="CT329" i="35"/>
  <c r="CU329" i="35"/>
  <c r="CV329" i="35"/>
  <c r="CW329" i="35"/>
  <c r="CX329" i="35"/>
  <c r="CY329" i="35"/>
  <c r="CZ329" i="35"/>
  <c r="DA329" i="35"/>
  <c r="DB329" i="35"/>
  <c r="DC329" i="35"/>
  <c r="DD329" i="35"/>
  <c r="DE329" i="35"/>
  <c r="DF329" i="35"/>
  <c r="DG329" i="35"/>
  <c r="DH329" i="35"/>
  <c r="DI329" i="35"/>
  <c r="DJ329" i="35"/>
  <c r="DK329" i="35"/>
  <c r="DL329" i="35"/>
  <c r="CM329" i="35"/>
  <c r="C2052" i="35" s="1"/>
  <c r="CM303" i="35"/>
  <c r="CN303" i="35"/>
  <c r="CO303" i="35"/>
  <c r="CP303" i="35"/>
  <c r="CQ303" i="35"/>
  <c r="CR303" i="35"/>
  <c r="CS303" i="35"/>
  <c r="CT303" i="35"/>
  <c r="CU303" i="35"/>
  <c r="CV303" i="35"/>
  <c r="CW303" i="35"/>
  <c r="CX303" i="35"/>
  <c r="CY303" i="35"/>
  <c r="CZ303" i="35"/>
  <c r="DA303" i="35"/>
  <c r="DB303" i="35"/>
  <c r="DC303" i="35"/>
  <c r="DD303" i="35"/>
  <c r="DE303" i="35"/>
  <c r="DF303" i="35"/>
  <c r="DG303" i="35"/>
  <c r="DH303" i="35"/>
  <c r="DI303" i="35"/>
  <c r="DJ303" i="35"/>
  <c r="DK303" i="35"/>
  <c r="DL303" i="35"/>
  <c r="CO283" i="35"/>
  <c r="CP283" i="35"/>
  <c r="CQ283" i="35"/>
  <c r="CR283" i="35"/>
  <c r="CS283" i="35"/>
  <c r="CT283" i="35"/>
  <c r="CU283" i="35"/>
  <c r="CV283" i="35"/>
  <c r="CW283" i="35"/>
  <c r="CX283" i="35"/>
  <c r="CY283" i="35"/>
  <c r="CZ283" i="35"/>
  <c r="DA283" i="35"/>
  <c r="DB283" i="35"/>
  <c r="DC283" i="35"/>
  <c r="DD283" i="35"/>
  <c r="DE283" i="35"/>
  <c r="DF283" i="35"/>
  <c r="DG283" i="35"/>
  <c r="DH283" i="35"/>
  <c r="DI283" i="35"/>
  <c r="DJ283" i="35"/>
  <c r="DK283" i="35"/>
  <c r="DL283" i="35"/>
  <c r="CM283" i="35"/>
  <c r="CN283" i="35"/>
  <c r="BY328" i="43"/>
  <c r="BY373" i="43" s="1"/>
  <c r="BZ328" i="43"/>
  <c r="BZ373" i="43" s="1"/>
  <c r="CA328" i="43"/>
  <c r="CA373" i="43" s="1"/>
  <c r="CB328" i="43"/>
  <c r="CB373" i="43" s="1"/>
  <c r="CC328" i="43"/>
  <c r="CC373" i="43" s="1"/>
  <c r="CD328" i="43"/>
  <c r="CD373" i="43" s="1"/>
  <c r="CE328" i="43"/>
  <c r="CE373" i="43" s="1"/>
  <c r="CF328" i="43"/>
  <c r="CF373" i="43" s="1"/>
  <c r="CG328" i="43"/>
  <c r="CG373" i="43" s="1"/>
  <c r="CH328" i="43"/>
  <c r="CH373" i="43" s="1"/>
  <c r="CI328" i="43"/>
  <c r="CI373" i="43" s="1"/>
  <c r="CJ328" i="43"/>
  <c r="CJ373" i="43" s="1"/>
  <c r="CK328" i="43"/>
  <c r="CK373" i="43" s="1"/>
  <c r="CL328" i="43"/>
  <c r="CL373" i="43" s="1"/>
  <c r="CM328" i="43"/>
  <c r="CM373" i="43" s="1"/>
  <c r="CN328" i="43"/>
  <c r="CN373" i="43" s="1"/>
  <c r="CO328" i="43"/>
  <c r="CO373" i="43" s="1"/>
  <c r="CP328" i="43"/>
  <c r="CP373" i="43" s="1"/>
  <c r="CQ328" i="43"/>
  <c r="CQ373" i="43" s="1"/>
  <c r="CR328" i="43"/>
  <c r="CR373" i="43" s="1"/>
  <c r="CS328" i="43"/>
  <c r="CS373" i="43" s="1"/>
  <c r="CT328" i="43"/>
  <c r="CT373" i="43" s="1"/>
  <c r="CU328" i="43"/>
  <c r="CU373" i="43" s="1"/>
  <c r="CV328" i="43"/>
  <c r="CV373" i="43" s="1"/>
  <c r="BW328" i="43"/>
  <c r="BW373" i="43" s="1"/>
  <c r="BX328" i="43"/>
  <c r="BX373" i="43" s="1"/>
  <c r="BG306" i="60"/>
  <c r="BE306" i="60"/>
  <c r="BE305" i="60" s="1"/>
  <c r="BE310" i="60" s="1"/>
  <c r="H14" i="60"/>
  <c r="I12" i="60"/>
  <c r="C9" i="60"/>
  <c r="C3039" i="35" l="1"/>
  <c r="C3036" i="35"/>
  <c r="C2055" i="35"/>
  <c r="C2060" i="35"/>
  <c r="C2064" i="35"/>
  <c r="C2056" i="35"/>
  <c r="C2061" i="35"/>
  <c r="C2053" i="35"/>
  <c r="C2057" i="35"/>
  <c r="C2062" i="35"/>
  <c r="C2054" i="35"/>
  <c r="C2058" i="35"/>
  <c r="F3037" i="35"/>
  <c r="F3043" i="35"/>
  <c r="F3038" i="35"/>
  <c r="F3044" i="35"/>
  <c r="F3039" i="35"/>
  <c r="F3036" i="35"/>
  <c r="F3041" i="35"/>
  <c r="F21" i="35"/>
  <c r="F10" i="35"/>
  <c r="I10" i="35" s="1"/>
  <c r="F14" i="35"/>
  <c r="I14" i="35" s="1"/>
  <c r="F20" i="35"/>
  <c r="F11" i="35"/>
  <c r="I11" i="35" s="1"/>
  <c r="F15" i="35"/>
  <c r="I15" i="35" s="1"/>
  <c r="F18" i="35"/>
  <c r="I18" i="35" s="1"/>
  <c r="F12" i="35"/>
  <c r="I12" i="35" s="1"/>
  <c r="F9" i="35"/>
  <c r="I9" i="35" s="1"/>
  <c r="F17" i="35"/>
  <c r="F13" i="35"/>
  <c r="I13" i="35" s="1"/>
  <c r="C3041" i="35"/>
  <c r="C3043" i="35"/>
  <c r="C3037" i="35"/>
  <c r="C3044" i="35"/>
  <c r="C3038" i="35"/>
  <c r="D3036" i="35"/>
  <c r="G9" i="35"/>
  <c r="J9" i="35" s="1"/>
  <c r="G21" i="35"/>
  <c r="G20" i="35"/>
  <c r="G18" i="35"/>
  <c r="J18" i="35" s="1"/>
  <c r="G17" i="35"/>
  <c r="G10" i="35"/>
  <c r="J10" i="35" s="1"/>
  <c r="G11" i="35"/>
  <c r="J11" i="35" s="1"/>
  <c r="G12" i="35"/>
  <c r="J12" i="35" s="1"/>
  <c r="G13" i="35"/>
  <c r="J13" i="35" s="1"/>
  <c r="G14" i="35"/>
  <c r="J14" i="35" s="1"/>
  <c r="G15" i="35"/>
  <c r="J15" i="35" s="1"/>
  <c r="D2064" i="35"/>
  <c r="D2062" i="35"/>
  <c r="D2061" i="35"/>
  <c r="D2060" i="35"/>
  <c r="D2053" i="35"/>
  <c r="D2054" i="35"/>
  <c r="D2055" i="35"/>
  <c r="D2056" i="35"/>
  <c r="D2057" i="35"/>
  <c r="D2058" i="35"/>
  <c r="D2052" i="35"/>
  <c r="D3044" i="35"/>
  <c r="D3043" i="35"/>
  <c r="D3041" i="35"/>
  <c r="D3037" i="35"/>
  <c r="D3038" i="35"/>
  <c r="D3039" i="35"/>
  <c r="G3044" i="35"/>
  <c r="G3043" i="35"/>
  <c r="H3043" i="35" s="1"/>
  <c r="G3041" i="35"/>
  <c r="H3041" i="35" s="1"/>
  <c r="G3037" i="35"/>
  <c r="J3037" i="35" s="1"/>
  <c r="G3038" i="35"/>
  <c r="G3039" i="35"/>
  <c r="G3036" i="35"/>
  <c r="BS326" i="49"/>
  <c r="BT326" i="49"/>
  <c r="BS345" i="49"/>
  <c r="BT345" i="49"/>
  <c r="BT304" i="49"/>
  <c r="BS294" i="49"/>
  <c r="BT294" i="49"/>
  <c r="BS261" i="49"/>
  <c r="BT261" i="49"/>
  <c r="B106" i="49"/>
  <c r="B107" i="49"/>
  <c r="B102" i="49"/>
  <c r="B98" i="49"/>
  <c r="B99" i="49"/>
  <c r="B100" i="49"/>
  <c r="B97" i="49"/>
  <c r="B93" i="49"/>
  <c r="B78" i="49"/>
  <c r="B79" i="49"/>
  <c r="B80" i="49"/>
  <c r="B81" i="49"/>
  <c r="B82" i="49"/>
  <c r="B83" i="49"/>
  <c r="B84" i="49"/>
  <c r="B85" i="49"/>
  <c r="B86" i="49"/>
  <c r="B87" i="49"/>
  <c r="B88" i="49"/>
  <c r="B89" i="49"/>
  <c r="B90" i="49"/>
  <c r="B77" i="49"/>
  <c r="B44" i="49"/>
  <c r="B45" i="49"/>
  <c r="B46" i="49"/>
  <c r="B47" i="49"/>
  <c r="B48" i="49"/>
  <c r="B49" i="49"/>
  <c r="B50" i="49"/>
  <c r="B51" i="49"/>
  <c r="B52" i="49"/>
  <c r="B54" i="49"/>
  <c r="B55" i="49"/>
  <c r="B56" i="49"/>
  <c r="B57" i="49"/>
  <c r="B58" i="49"/>
  <c r="B59" i="49"/>
  <c r="B60" i="49"/>
  <c r="B61" i="49"/>
  <c r="B62" i="49"/>
  <c r="B65" i="49"/>
  <c r="B67" i="49"/>
  <c r="B68" i="49"/>
  <c r="B69" i="49"/>
  <c r="B70" i="49"/>
  <c r="B71" i="49"/>
  <c r="B72" i="49"/>
  <c r="B74" i="49"/>
  <c r="B12" i="49"/>
  <c r="B13" i="49"/>
  <c r="B14" i="49"/>
  <c r="B15" i="49"/>
  <c r="B16" i="49"/>
  <c r="B17" i="49"/>
  <c r="B18" i="49"/>
  <c r="B19" i="49"/>
  <c r="B20" i="49"/>
  <c r="B21" i="49"/>
  <c r="B22" i="49"/>
  <c r="B23" i="49"/>
  <c r="B24" i="49"/>
  <c r="B25" i="49"/>
  <c r="B26" i="49"/>
  <c r="B27" i="49"/>
  <c r="B28" i="49"/>
  <c r="B29" i="49"/>
  <c r="B30" i="49"/>
  <c r="B31" i="49"/>
  <c r="B32" i="49"/>
  <c r="B33" i="49"/>
  <c r="B34" i="49"/>
  <c r="B35" i="49"/>
  <c r="B36" i="49"/>
  <c r="B37" i="49"/>
  <c r="B38" i="49"/>
  <c r="B39" i="49"/>
  <c r="B40" i="49"/>
  <c r="B41" i="49"/>
  <c r="B42" i="49"/>
  <c r="B9" i="49"/>
  <c r="B3024" i="43"/>
  <c r="BQ277" i="46"/>
  <c r="BQ222" i="46"/>
  <c r="BQ221" i="46" s="1"/>
  <c r="BR222" i="46"/>
  <c r="BP206" i="46"/>
  <c r="BP239" i="46" s="1"/>
  <c r="BQ206" i="46"/>
  <c r="BP440" i="46"/>
  <c r="BQ440" i="46"/>
  <c r="BP421" i="46"/>
  <c r="BQ421" i="46"/>
  <c r="BP407" i="46"/>
  <c r="BQ407" i="46"/>
  <c r="BP388" i="46"/>
  <c r="BP387" i="46" s="1"/>
  <c r="BQ388" i="46"/>
  <c r="BQ387" i="46" s="1"/>
  <c r="BP371" i="46"/>
  <c r="BP434" i="46" s="1"/>
  <c r="BQ371" i="46"/>
  <c r="BQ434" i="46" s="1"/>
  <c r="BQ364" i="46"/>
  <c r="BP345" i="46"/>
  <c r="BQ345" i="46"/>
  <c r="BP324" i="46"/>
  <c r="BQ324" i="46"/>
  <c r="BP307" i="46"/>
  <c r="BP306" i="46" s="1"/>
  <c r="BQ307" i="46"/>
  <c r="BQ306" i="46" s="1"/>
  <c r="BP292" i="46"/>
  <c r="BQ292" i="46"/>
  <c r="BP284" i="46"/>
  <c r="BQ284" i="46"/>
  <c r="BP261" i="46"/>
  <c r="BQ261" i="46"/>
  <c r="BP242" i="46"/>
  <c r="BQ242" i="46"/>
  <c r="BP291" i="46"/>
  <c r="BP358" i="46" s="1"/>
  <c r="BQ291" i="46"/>
  <c r="BQ358" i="46" s="1"/>
  <c r="BP276" i="46"/>
  <c r="BQ276" i="46"/>
  <c r="BP241" i="46"/>
  <c r="BQ241" i="46"/>
  <c r="B16" i="46"/>
  <c r="BS327" i="50"/>
  <c r="BS291" i="50"/>
  <c r="BS292" i="50"/>
  <c r="BS322" i="50" s="1"/>
  <c r="BS328" i="50"/>
  <c r="BS340" i="50"/>
  <c r="BT328" i="50"/>
  <c r="BT340" i="50"/>
  <c r="BT291" i="50"/>
  <c r="BT327" i="50"/>
  <c r="BT305" i="50"/>
  <c r="BT292" i="50"/>
  <c r="BT267" i="50"/>
  <c r="BT252" i="50"/>
  <c r="BX257" i="43"/>
  <c r="BX278" i="43"/>
  <c r="BX309" i="43"/>
  <c r="BX313" i="43"/>
  <c r="BX329" i="43"/>
  <c r="BX355" i="43"/>
  <c r="BX340" i="43" s="1"/>
  <c r="BX358" i="43"/>
  <c r="BX362" i="43"/>
  <c r="BX374" i="43"/>
  <c r="BX376" i="43"/>
  <c r="BX406" i="43"/>
  <c r="BX386" i="43" s="1"/>
  <c r="BX415" i="43"/>
  <c r="BX419" i="43"/>
  <c r="B3052" i="43"/>
  <c r="B3053" i="43"/>
  <c r="B3054" i="43"/>
  <c r="B3055" i="43"/>
  <c r="B3056" i="43"/>
  <c r="B3057" i="43"/>
  <c r="B3059" i="43"/>
  <c r="B3060" i="43"/>
  <c r="B3061" i="43"/>
  <c r="B3062" i="43"/>
  <c r="B3063" i="43"/>
  <c r="B3064" i="43"/>
  <c r="B3065" i="43"/>
  <c r="B3066" i="43"/>
  <c r="B3067" i="43"/>
  <c r="B3068" i="43"/>
  <c r="B3069" i="43"/>
  <c r="B3051" i="43"/>
  <c r="B3034" i="43"/>
  <c r="B3035" i="43"/>
  <c r="B3036" i="43"/>
  <c r="B3037" i="43"/>
  <c r="B3038" i="43"/>
  <c r="B3039" i="43"/>
  <c r="B3040" i="43"/>
  <c r="B3041" i="43"/>
  <c r="B3042" i="43"/>
  <c r="B3043" i="43"/>
  <c r="B3044" i="43"/>
  <c r="B3045" i="43"/>
  <c r="B3046" i="43"/>
  <c r="B3047" i="43"/>
  <c r="B3048" i="43"/>
  <c r="B3049" i="43"/>
  <c r="B3050" i="43"/>
  <c r="B3033" i="43"/>
  <c r="BY374" i="43"/>
  <c r="B3022" i="43"/>
  <c r="B3023" i="43"/>
  <c r="B3025" i="43"/>
  <c r="B3026" i="43"/>
  <c r="B3027" i="43"/>
  <c r="B3028" i="43"/>
  <c r="B3029" i="43"/>
  <c r="B3030" i="43"/>
  <c r="B3031" i="43"/>
  <c r="B3021" i="43"/>
  <c r="BZ374" i="43"/>
  <c r="CA374" i="43"/>
  <c r="CB374" i="43"/>
  <c r="CC374" i="43"/>
  <c r="CD374" i="43"/>
  <c r="CE374" i="43"/>
  <c r="CF374" i="43"/>
  <c r="CG374" i="43"/>
  <c r="CH374" i="43"/>
  <c r="CI374" i="43"/>
  <c r="CJ374" i="43"/>
  <c r="CK374" i="43"/>
  <c r="CL374" i="43"/>
  <c r="CM374" i="43"/>
  <c r="CN374" i="43"/>
  <c r="CO374" i="43"/>
  <c r="CP374" i="43"/>
  <c r="CQ374" i="43"/>
  <c r="CR374" i="43"/>
  <c r="CS374" i="43"/>
  <c r="CT374" i="43"/>
  <c r="CU374" i="43"/>
  <c r="CV374" i="43"/>
  <c r="BZ376" i="43"/>
  <c r="CA376" i="43"/>
  <c r="CB376" i="43"/>
  <c r="CC376" i="43"/>
  <c r="CD376" i="43"/>
  <c r="CE376" i="43"/>
  <c r="CF376" i="43"/>
  <c r="CG376" i="43"/>
  <c r="CH376" i="43"/>
  <c r="CI376" i="43"/>
  <c r="CJ376" i="43"/>
  <c r="CK376" i="43"/>
  <c r="CL376" i="43"/>
  <c r="CM376" i="43"/>
  <c r="CN376" i="43"/>
  <c r="CO376" i="43"/>
  <c r="CP376" i="43"/>
  <c r="CQ376" i="43"/>
  <c r="CR376" i="43"/>
  <c r="CS376" i="43"/>
  <c r="CT376" i="43"/>
  <c r="CU376" i="43"/>
  <c r="CV376" i="43"/>
  <c r="BY376" i="43"/>
  <c r="B2046" i="43"/>
  <c r="B2047" i="43"/>
  <c r="B2048" i="43"/>
  <c r="B2049" i="43"/>
  <c r="B2050" i="43"/>
  <c r="B2051" i="43"/>
  <c r="B2052" i="43"/>
  <c r="B2053" i="43"/>
  <c r="B2054" i="43"/>
  <c r="B2055" i="43"/>
  <c r="B2044" i="43"/>
  <c r="B2045" i="43"/>
  <c r="B2031" i="43"/>
  <c r="B2032" i="43"/>
  <c r="B2033" i="43"/>
  <c r="B2034" i="43"/>
  <c r="B2035" i="43"/>
  <c r="B2036" i="43"/>
  <c r="B2037" i="43"/>
  <c r="B2038" i="43"/>
  <c r="B2039" i="43"/>
  <c r="B2040" i="43"/>
  <c r="B2041" i="43"/>
  <c r="B2042" i="43"/>
  <c r="B2043" i="43"/>
  <c r="B2030" i="43"/>
  <c r="B2020" i="43"/>
  <c r="B2021" i="43"/>
  <c r="B2022" i="43"/>
  <c r="B2023" i="43"/>
  <c r="B2024" i="43"/>
  <c r="B2025" i="43"/>
  <c r="B2026" i="43"/>
  <c r="B2027" i="43"/>
  <c r="B2028" i="43"/>
  <c r="B2019" i="43"/>
  <c r="BQ356" i="43"/>
  <c r="BQ355" i="43"/>
  <c r="E3039" i="35" l="1"/>
  <c r="BX357" i="43"/>
  <c r="H3044" i="35"/>
  <c r="BX361" i="43"/>
  <c r="BX365" i="43" s="1"/>
  <c r="BX414" i="43"/>
  <c r="BX418" i="43" s="1"/>
  <c r="BX422" i="43" s="1"/>
  <c r="BS315" i="49"/>
  <c r="BS324" i="49" s="1"/>
  <c r="BS354" i="49" s="1"/>
  <c r="BS353" i="50"/>
  <c r="BT286" i="50"/>
  <c r="BQ239" i="46"/>
  <c r="BX308" i="43"/>
  <c r="BX312" i="43" s="1"/>
  <c r="BX316" i="43" s="1"/>
  <c r="I3039" i="35"/>
  <c r="I3037" i="35"/>
  <c r="C2059" i="35"/>
  <c r="C2063" i="35" s="1"/>
  <c r="F3040" i="35"/>
  <c r="F3042" i="35" s="1"/>
  <c r="I3038" i="35"/>
  <c r="I3036" i="35"/>
  <c r="BQ323" i="46"/>
  <c r="BQ274" i="46"/>
  <c r="BQ286" i="46" s="1"/>
  <c r="BQ406" i="46"/>
  <c r="BP323" i="46"/>
  <c r="BP274" i="46"/>
  <c r="BP286" i="46" s="1"/>
  <c r="BP406" i="46"/>
  <c r="J3036" i="35"/>
  <c r="H3036" i="35"/>
  <c r="H3039" i="35"/>
  <c r="J3039" i="35"/>
  <c r="H3038" i="35"/>
  <c r="J3038" i="35"/>
  <c r="H3037" i="35"/>
  <c r="BT315" i="49"/>
  <c r="BP404" i="46"/>
  <c r="BP432" i="46"/>
  <c r="BP442" i="46" s="1"/>
  <c r="BQ404" i="46"/>
  <c r="BQ432" i="46"/>
  <c r="BQ442" i="46" s="1"/>
  <c r="BP321" i="46"/>
  <c r="BP356" i="46"/>
  <c r="BP366" i="46" s="1"/>
  <c r="BQ321" i="46"/>
  <c r="BQ356" i="46"/>
  <c r="BQ366" i="46" s="1"/>
  <c r="BT353" i="50"/>
  <c r="BT322" i="50"/>
  <c r="B50" i="43"/>
  <c r="B51" i="43"/>
  <c r="B52" i="43"/>
  <c r="B53" i="43"/>
  <c r="B54" i="43"/>
  <c r="B55" i="43"/>
  <c r="B56" i="43"/>
  <c r="B57" i="43"/>
  <c r="B32" i="43"/>
  <c r="B33" i="43"/>
  <c r="B34" i="43"/>
  <c r="B35" i="43"/>
  <c r="B36" i="43"/>
  <c r="B37" i="43"/>
  <c r="B38" i="43"/>
  <c r="B39" i="43"/>
  <c r="B40" i="43"/>
  <c r="B41" i="43"/>
  <c r="B42" i="43"/>
  <c r="B43" i="43"/>
  <c r="B44" i="43"/>
  <c r="B45" i="43"/>
  <c r="B46" i="43"/>
  <c r="B47" i="43"/>
  <c r="B48" i="43"/>
  <c r="B49" i="43"/>
  <c r="B31" i="43"/>
  <c r="B11" i="43"/>
  <c r="B12" i="43"/>
  <c r="B14" i="43"/>
  <c r="B15" i="43"/>
  <c r="B16" i="43"/>
  <c r="B17" i="43"/>
  <c r="B18" i="43"/>
  <c r="B19" i="43"/>
  <c r="B20" i="43"/>
  <c r="B21" i="43"/>
  <c r="B22" i="43"/>
  <c r="B23" i="43"/>
  <c r="B24" i="43"/>
  <c r="B25" i="43"/>
  <c r="B26" i="43"/>
  <c r="B27" i="43"/>
  <c r="B28" i="43"/>
  <c r="B29" i="43"/>
  <c r="BY298" i="43"/>
  <c r="BQ300" i="43"/>
  <c r="BZ257" i="43"/>
  <c r="CA257" i="43"/>
  <c r="CB257" i="43"/>
  <c r="CC257" i="43"/>
  <c r="CD257" i="43"/>
  <c r="CE257" i="43"/>
  <c r="CF257" i="43"/>
  <c r="CG257" i="43"/>
  <c r="CH257" i="43"/>
  <c r="CI257" i="43"/>
  <c r="CJ257" i="43"/>
  <c r="CK257" i="43"/>
  <c r="CL257" i="43"/>
  <c r="CM257" i="43"/>
  <c r="CN257" i="43"/>
  <c r="CO257" i="43"/>
  <c r="CP257" i="43"/>
  <c r="CQ257" i="43"/>
  <c r="CR257" i="43"/>
  <c r="CS257" i="43"/>
  <c r="CT257" i="43"/>
  <c r="CU257" i="43"/>
  <c r="CV257" i="43"/>
  <c r="BY257" i="43"/>
  <c r="BZ262" i="43"/>
  <c r="CA262" i="43"/>
  <c r="CB262" i="43"/>
  <c r="CC262" i="43"/>
  <c r="CD262" i="43"/>
  <c r="CE262" i="43"/>
  <c r="CF262" i="43"/>
  <c r="CG262" i="43"/>
  <c r="CH262" i="43"/>
  <c r="CI262" i="43"/>
  <c r="CJ262" i="43"/>
  <c r="CK262" i="43"/>
  <c r="CL262" i="43"/>
  <c r="CM262" i="43"/>
  <c r="CN262" i="43"/>
  <c r="CO262" i="43"/>
  <c r="CP262" i="43"/>
  <c r="CQ262" i="43"/>
  <c r="CR262" i="43"/>
  <c r="CS262" i="43"/>
  <c r="CT262" i="43"/>
  <c r="CU262" i="43"/>
  <c r="CV262" i="43"/>
  <c r="BY262" i="43"/>
  <c r="E2064" i="35"/>
  <c r="E2053" i="35"/>
  <c r="E2054" i="35"/>
  <c r="E2055" i="35"/>
  <c r="E2056" i="35"/>
  <c r="E2057" i="35"/>
  <c r="E2058" i="35"/>
  <c r="E2060" i="35"/>
  <c r="E2061" i="35"/>
  <c r="E2062" i="35"/>
  <c r="E2052" i="35"/>
  <c r="D2059" i="35"/>
  <c r="D2063" i="35" s="1"/>
  <c r="D2065" i="35" s="1"/>
  <c r="BT324" i="49" l="1"/>
  <c r="BT354" i="49" s="1"/>
  <c r="E2059" i="35"/>
  <c r="CO337" i="35"/>
  <c r="CO341" i="35" s="1"/>
  <c r="CO343" i="35" s="1"/>
  <c r="CP337" i="35"/>
  <c r="CP341" i="35" s="1"/>
  <c r="CP343" i="35" s="1"/>
  <c r="CQ337" i="35"/>
  <c r="CQ341" i="35" s="1"/>
  <c r="CQ343" i="35" s="1"/>
  <c r="CR337" i="35"/>
  <c r="CR341" i="35" s="1"/>
  <c r="CR343" i="35" s="1"/>
  <c r="CS337" i="35"/>
  <c r="CS341" i="35" s="1"/>
  <c r="CT337" i="35"/>
  <c r="CT341" i="35" s="1"/>
  <c r="CT343" i="35" s="1"/>
  <c r="CU337" i="35"/>
  <c r="CU341" i="35" s="1"/>
  <c r="CU343" i="35" s="1"/>
  <c r="CV337" i="35"/>
  <c r="CV341" i="35" s="1"/>
  <c r="CV343" i="35" s="1"/>
  <c r="CW337" i="35"/>
  <c r="CW341" i="35" s="1"/>
  <c r="CW343" i="35" s="1"/>
  <c r="CX337" i="35"/>
  <c r="CX341" i="35" s="1"/>
  <c r="CX343" i="35" s="1"/>
  <c r="CY337" i="35"/>
  <c r="CY341" i="35" s="1"/>
  <c r="CY343" i="35" s="1"/>
  <c r="CZ337" i="35"/>
  <c r="CZ341" i="35" s="1"/>
  <c r="CZ343" i="35" s="1"/>
  <c r="DA337" i="35"/>
  <c r="DA341" i="35" s="1"/>
  <c r="DB337" i="35"/>
  <c r="DB341" i="35" s="1"/>
  <c r="DC337" i="35"/>
  <c r="DC341" i="35" s="1"/>
  <c r="DC343" i="35" s="1"/>
  <c r="DD337" i="35"/>
  <c r="DD341" i="35" s="1"/>
  <c r="DD343" i="35" s="1"/>
  <c r="DE337" i="35"/>
  <c r="DE341" i="35" s="1"/>
  <c r="DE343" i="35" s="1"/>
  <c r="DF337" i="35"/>
  <c r="DF341" i="35" s="1"/>
  <c r="DF343" i="35" s="1"/>
  <c r="DG337" i="35"/>
  <c r="DG341" i="35" s="1"/>
  <c r="DG343" i="35" s="1"/>
  <c r="DH337" i="35"/>
  <c r="DH341" i="35" s="1"/>
  <c r="DH343" i="35" s="1"/>
  <c r="DI337" i="35"/>
  <c r="DI341" i="35" s="1"/>
  <c r="DJ337" i="35"/>
  <c r="DJ341" i="35" s="1"/>
  <c r="DJ343" i="35" s="1"/>
  <c r="DK337" i="35"/>
  <c r="DK341" i="35" s="1"/>
  <c r="DK343" i="35" s="1"/>
  <c r="DL337" i="35"/>
  <c r="DL341" i="35" s="1"/>
  <c r="DL343" i="35" s="1"/>
  <c r="CN337" i="35"/>
  <c r="CN341" i="35" s="1"/>
  <c r="CN343" i="35" s="1"/>
  <c r="DG325" i="35"/>
  <c r="CS343" i="35"/>
  <c r="DA343" i="35"/>
  <c r="DB343" i="35"/>
  <c r="DI343" i="35"/>
  <c r="CO325" i="35"/>
  <c r="CP325" i="35"/>
  <c r="CQ325" i="35"/>
  <c r="CR325" i="35"/>
  <c r="CS325" i="35"/>
  <c r="CT325" i="35"/>
  <c r="CU325" i="35"/>
  <c r="CV325" i="35"/>
  <c r="CW325" i="35"/>
  <c r="CX325" i="35"/>
  <c r="CY325" i="35"/>
  <c r="CZ325" i="35"/>
  <c r="DA325" i="35"/>
  <c r="DB325" i="35"/>
  <c r="DC325" i="35"/>
  <c r="DD325" i="35"/>
  <c r="DE325" i="35"/>
  <c r="DF325" i="35"/>
  <c r="DH325" i="35"/>
  <c r="DI325" i="35"/>
  <c r="DJ325" i="35"/>
  <c r="DK325" i="35"/>
  <c r="DL325" i="35"/>
  <c r="CO320" i="35"/>
  <c r="CP320" i="35"/>
  <c r="CQ320" i="35"/>
  <c r="CR320" i="35"/>
  <c r="CS320" i="35"/>
  <c r="CT320" i="35"/>
  <c r="CU320" i="35"/>
  <c r="CV320" i="35"/>
  <c r="CW320" i="35"/>
  <c r="CX320" i="35"/>
  <c r="CY320" i="35"/>
  <c r="CZ320" i="35"/>
  <c r="DA320" i="35"/>
  <c r="DB320" i="35"/>
  <c r="DC320" i="35"/>
  <c r="DD320" i="35"/>
  <c r="DE320" i="35"/>
  <c r="DF320" i="35"/>
  <c r="DG320" i="35"/>
  <c r="DH320" i="35"/>
  <c r="DI320" i="35"/>
  <c r="DJ320" i="35"/>
  <c r="DK320" i="35"/>
  <c r="DL320" i="35"/>
  <c r="CN325" i="35"/>
  <c r="CN320" i="35"/>
  <c r="CO305" i="35"/>
  <c r="CP305" i="35"/>
  <c r="CQ305" i="35"/>
  <c r="CR305" i="35"/>
  <c r="CS305" i="35"/>
  <c r="CT305" i="35"/>
  <c r="CU305" i="35"/>
  <c r="CV305" i="35"/>
  <c r="CW305" i="35"/>
  <c r="CX305" i="35"/>
  <c r="CY305" i="35"/>
  <c r="CZ305" i="35"/>
  <c r="DA305" i="35"/>
  <c r="DB305" i="35"/>
  <c r="DC305" i="35"/>
  <c r="DD305" i="35"/>
  <c r="DE305" i="35"/>
  <c r="DF305" i="35"/>
  <c r="DG305" i="35"/>
  <c r="DH305" i="35"/>
  <c r="DI305" i="35"/>
  <c r="DJ305" i="35"/>
  <c r="DK305" i="35"/>
  <c r="DL305" i="35"/>
  <c r="CO308" i="35"/>
  <c r="CP308" i="35"/>
  <c r="CQ308" i="35"/>
  <c r="CR308" i="35"/>
  <c r="CS308" i="35"/>
  <c r="CT308" i="35"/>
  <c r="CU308" i="35"/>
  <c r="CV308" i="35"/>
  <c r="CW308" i="35"/>
  <c r="CX308" i="35"/>
  <c r="CY308" i="35"/>
  <c r="CZ308" i="35"/>
  <c r="DA308" i="35"/>
  <c r="DB308" i="35"/>
  <c r="DC308" i="35"/>
  <c r="DD308" i="35"/>
  <c r="DE308" i="35"/>
  <c r="DF308" i="35"/>
  <c r="DG308" i="35"/>
  <c r="DH308" i="35"/>
  <c r="DI308" i="35"/>
  <c r="DJ308" i="35"/>
  <c r="DK308" i="35"/>
  <c r="DL308" i="35"/>
  <c r="CO311" i="35"/>
  <c r="CP311" i="35"/>
  <c r="CQ311" i="35"/>
  <c r="CR311" i="35"/>
  <c r="CS311" i="35"/>
  <c r="CT311" i="35"/>
  <c r="CU311" i="35"/>
  <c r="CV311" i="35"/>
  <c r="CW311" i="35"/>
  <c r="CX311" i="35"/>
  <c r="CY311" i="35"/>
  <c r="CZ311" i="35"/>
  <c r="DA311" i="35"/>
  <c r="DB311" i="35"/>
  <c r="DC311" i="35"/>
  <c r="DD311" i="35"/>
  <c r="DE311" i="35"/>
  <c r="DF311" i="35"/>
  <c r="DG311" i="35"/>
  <c r="DH311" i="35"/>
  <c r="DI311" i="35"/>
  <c r="DJ311" i="35"/>
  <c r="DK311" i="35"/>
  <c r="DL311" i="35"/>
  <c r="CO314" i="35"/>
  <c r="CP314" i="35"/>
  <c r="CQ314" i="35"/>
  <c r="CR314" i="35"/>
  <c r="CS314" i="35"/>
  <c r="CT314" i="35"/>
  <c r="CU314" i="35"/>
  <c r="CV314" i="35"/>
  <c r="CW314" i="35"/>
  <c r="CX314" i="35"/>
  <c r="CY314" i="35"/>
  <c r="CZ314" i="35"/>
  <c r="DA314" i="35"/>
  <c r="DB314" i="35"/>
  <c r="DC314" i="35"/>
  <c r="DD314" i="35"/>
  <c r="DE314" i="35"/>
  <c r="DF314" i="35"/>
  <c r="DG314" i="35"/>
  <c r="DH314" i="35"/>
  <c r="DI314" i="35"/>
  <c r="DJ314" i="35"/>
  <c r="DK314" i="35"/>
  <c r="DL314" i="35"/>
  <c r="CO317" i="35"/>
  <c r="CO321" i="35" s="1"/>
  <c r="CP317" i="35"/>
  <c r="CP321" i="35" s="1"/>
  <c r="CQ317" i="35"/>
  <c r="CQ321" i="35" s="1"/>
  <c r="CR317" i="35"/>
  <c r="CR321" i="35" s="1"/>
  <c r="CS317" i="35"/>
  <c r="CS321" i="35" s="1"/>
  <c r="CT317" i="35"/>
  <c r="CT321" i="35" s="1"/>
  <c r="CU317" i="35"/>
  <c r="CU321" i="35" s="1"/>
  <c r="CV317" i="35"/>
  <c r="CV321" i="35" s="1"/>
  <c r="CW317" i="35"/>
  <c r="CW321" i="35" s="1"/>
  <c r="CX317" i="35"/>
  <c r="CX321" i="35" s="1"/>
  <c r="CY317" i="35"/>
  <c r="CY321" i="35" s="1"/>
  <c r="CZ317" i="35"/>
  <c r="CZ321" i="35" s="1"/>
  <c r="DA317" i="35"/>
  <c r="DA321" i="35" s="1"/>
  <c r="DB317" i="35"/>
  <c r="DB321" i="35" s="1"/>
  <c r="DC317" i="35"/>
  <c r="DC321" i="35" s="1"/>
  <c r="DD317" i="35"/>
  <c r="DD321" i="35" s="1"/>
  <c r="DE317" i="35"/>
  <c r="DE321" i="35" s="1"/>
  <c r="DF317" i="35"/>
  <c r="DF321" i="35" s="1"/>
  <c r="DG317" i="35"/>
  <c r="DG321" i="35" s="1"/>
  <c r="DH317" i="35"/>
  <c r="DH321" i="35" s="1"/>
  <c r="DI317" i="35"/>
  <c r="DI321" i="35" s="1"/>
  <c r="DJ317" i="35"/>
  <c r="DJ321" i="35" s="1"/>
  <c r="DK317" i="35"/>
  <c r="DK321" i="35" s="1"/>
  <c r="DL317" i="35"/>
  <c r="DL321" i="35" s="1"/>
  <c r="CN317" i="35"/>
  <c r="CN321" i="35" s="1"/>
  <c r="CN314" i="35"/>
  <c r="CN311" i="35"/>
  <c r="CN308" i="35"/>
  <c r="CN305" i="35"/>
  <c r="E2028" i="35"/>
  <c r="E2029" i="35"/>
  <c r="E2031" i="35"/>
  <c r="E2032" i="35"/>
  <c r="E2034" i="35"/>
  <c r="E2035" i="35"/>
  <c r="E2038" i="35"/>
  <c r="E2040" i="35"/>
  <c r="E2041" i="35"/>
  <c r="E2026" i="35"/>
  <c r="D2042" i="35"/>
  <c r="C2042" i="35"/>
  <c r="E2027" i="35"/>
  <c r="E2030" i="35"/>
  <c r="E2036" i="35"/>
  <c r="D2039" i="35"/>
  <c r="D2043" i="35" s="1"/>
  <c r="D3019" i="43"/>
  <c r="C3019" i="43"/>
  <c r="D2017" i="43"/>
  <c r="C2017" i="43"/>
  <c r="D8" i="43"/>
  <c r="BQ413" i="43"/>
  <c r="BQ416" i="43"/>
  <c r="BQ417" i="43"/>
  <c r="BQ420" i="43"/>
  <c r="BQ421" i="43"/>
  <c r="BQ423" i="43"/>
  <c r="BQ407" i="43"/>
  <c r="BQ408" i="43"/>
  <c r="BQ409" i="43"/>
  <c r="BQ410" i="43"/>
  <c r="BQ411" i="43"/>
  <c r="BQ412" i="43"/>
  <c r="BQ377" i="43"/>
  <c r="BQ378" i="43"/>
  <c r="BQ379" i="43"/>
  <c r="BQ380" i="43"/>
  <c r="BQ381" i="43"/>
  <c r="BQ382" i="43"/>
  <c r="BQ383" i="43"/>
  <c r="BQ384" i="43"/>
  <c r="BQ385" i="43"/>
  <c r="BQ387" i="43"/>
  <c r="BQ388" i="43"/>
  <c r="BQ389" i="43"/>
  <c r="BQ390" i="43"/>
  <c r="BQ391" i="43"/>
  <c r="BQ392" i="43"/>
  <c r="BQ393" i="43"/>
  <c r="BQ394" i="43"/>
  <c r="BQ395" i="43"/>
  <c r="BQ396" i="43"/>
  <c r="BQ397" i="43"/>
  <c r="BQ398" i="43"/>
  <c r="BQ399" i="43"/>
  <c r="BQ400" i="43"/>
  <c r="BQ401" i="43"/>
  <c r="BQ402" i="43"/>
  <c r="BQ403" i="43"/>
  <c r="BQ404" i="43"/>
  <c r="BQ405" i="43"/>
  <c r="BQ375" i="43"/>
  <c r="BQ359" i="43"/>
  <c r="BQ360" i="43"/>
  <c r="BQ363" i="43"/>
  <c r="BQ364" i="43"/>
  <c r="BQ366" i="43"/>
  <c r="BQ341" i="43"/>
  <c r="BQ342" i="43"/>
  <c r="BQ343" i="43"/>
  <c r="BQ344" i="43"/>
  <c r="BQ345" i="43"/>
  <c r="BQ346" i="43"/>
  <c r="BQ347" i="43"/>
  <c r="BQ348" i="43"/>
  <c r="BQ349" i="43"/>
  <c r="BQ350" i="43"/>
  <c r="BQ351" i="43"/>
  <c r="BQ352" i="43"/>
  <c r="BQ353" i="43"/>
  <c r="BQ354" i="43"/>
  <c r="BQ331" i="43"/>
  <c r="BQ332" i="43"/>
  <c r="BQ333" i="43"/>
  <c r="BQ334" i="43"/>
  <c r="BQ335" i="43"/>
  <c r="BQ336" i="43"/>
  <c r="BQ337" i="43"/>
  <c r="BQ338" i="43"/>
  <c r="BQ339" i="43"/>
  <c r="BQ330" i="43"/>
  <c r="BQ320" i="43"/>
  <c r="BQ319" i="43"/>
  <c r="BQ318" i="43"/>
  <c r="BQ317" i="43"/>
  <c r="BQ315" i="43"/>
  <c r="BQ314" i="43"/>
  <c r="BQ311" i="43"/>
  <c r="BQ310" i="43"/>
  <c r="BQ307" i="43"/>
  <c r="BQ301" i="43"/>
  <c r="BQ302" i="43"/>
  <c r="BQ303" i="43"/>
  <c r="BQ304" i="43"/>
  <c r="BQ305" i="43"/>
  <c r="BQ306" i="43"/>
  <c r="BQ299" i="43"/>
  <c r="BQ280" i="43"/>
  <c r="BQ281" i="43"/>
  <c r="BQ282" i="43"/>
  <c r="BQ283" i="43"/>
  <c r="BQ284" i="43"/>
  <c r="BQ285" i="43"/>
  <c r="BQ286" i="43"/>
  <c r="BQ287" i="43"/>
  <c r="BQ288" i="43"/>
  <c r="BQ289" i="43"/>
  <c r="BQ290" i="43"/>
  <c r="BQ291" i="43"/>
  <c r="BQ292" i="43"/>
  <c r="BQ293" i="43"/>
  <c r="BQ294" i="43"/>
  <c r="BQ295" i="43"/>
  <c r="BQ296" i="43"/>
  <c r="BQ297" i="43"/>
  <c r="BQ279" i="43"/>
  <c r="BQ259" i="43"/>
  <c r="BQ260" i="43"/>
  <c r="BQ261" i="43"/>
  <c r="BQ262" i="43"/>
  <c r="BQ263" i="43"/>
  <c r="BQ264" i="43"/>
  <c r="BQ265" i="43"/>
  <c r="BQ266" i="43"/>
  <c r="BQ267" i="43"/>
  <c r="BQ268" i="43"/>
  <c r="BQ269" i="43"/>
  <c r="BQ270" i="43"/>
  <c r="BQ271" i="43"/>
  <c r="BQ272" i="43"/>
  <c r="BQ273" i="43"/>
  <c r="BQ274" i="43"/>
  <c r="BQ275" i="43"/>
  <c r="BQ276" i="43"/>
  <c r="BQ277" i="43"/>
  <c r="BQ258" i="43"/>
  <c r="CK313" i="43"/>
  <c r="DL322" i="35" l="1"/>
  <c r="DL326" i="35" s="1"/>
  <c r="DH322" i="35"/>
  <c r="DH326" i="35" s="1"/>
  <c r="DD322" i="35"/>
  <c r="CZ322" i="35"/>
  <c r="CV322" i="35"/>
  <c r="CR322" i="35"/>
  <c r="DK322" i="35"/>
  <c r="DK326" i="35" s="1"/>
  <c r="DG322" i="35"/>
  <c r="DC322" i="35"/>
  <c r="DC326" i="35" s="1"/>
  <c r="CY322" i="35"/>
  <c r="CY326" i="35" s="1"/>
  <c r="CU322" i="35"/>
  <c r="CU326" i="35" s="1"/>
  <c r="CQ322" i="35"/>
  <c r="CQ326" i="35" s="1"/>
  <c r="D58" i="43"/>
  <c r="E2042" i="35"/>
  <c r="DD326" i="35"/>
  <c r="CZ326" i="35"/>
  <c r="CV326" i="35"/>
  <c r="CR326" i="35"/>
  <c r="DJ322" i="35"/>
  <c r="DJ326" i="35" s="1"/>
  <c r="DF322" i="35"/>
  <c r="DF326" i="35" s="1"/>
  <c r="DB322" i="35"/>
  <c r="DB326" i="35" s="1"/>
  <c r="CX322" i="35"/>
  <c r="CX326" i="35" s="1"/>
  <c r="CT322" i="35"/>
  <c r="CT326" i="35" s="1"/>
  <c r="CP322" i="35"/>
  <c r="CP326" i="35" s="1"/>
  <c r="DI322" i="35"/>
  <c r="DI326" i="35" s="1"/>
  <c r="DE322" i="35"/>
  <c r="DE326" i="35" s="1"/>
  <c r="DA322" i="35"/>
  <c r="DA326" i="35" s="1"/>
  <c r="CW322" i="35"/>
  <c r="CW326" i="35" s="1"/>
  <c r="CS322" i="35"/>
  <c r="CS326" i="35" s="1"/>
  <c r="CO322" i="35"/>
  <c r="CO326" i="35" s="1"/>
  <c r="CN322" i="35"/>
  <c r="CN326" i="35" s="1"/>
  <c r="DG326" i="35"/>
  <c r="C2065" i="35"/>
  <c r="E2065" i="35" s="1"/>
  <c r="E2063" i="35"/>
  <c r="D52" i="43"/>
  <c r="D53" i="43"/>
  <c r="D54" i="43"/>
  <c r="D55" i="43"/>
  <c r="D56" i="43"/>
  <c r="D57" i="43"/>
  <c r="D51" i="43"/>
  <c r="D32" i="43"/>
  <c r="D33" i="43"/>
  <c r="D34" i="43"/>
  <c r="D35" i="43"/>
  <c r="D36" i="43"/>
  <c r="D37" i="43"/>
  <c r="D38" i="43"/>
  <c r="D39" i="43"/>
  <c r="D40" i="43"/>
  <c r="D41" i="43"/>
  <c r="D42" i="43"/>
  <c r="D43" i="43"/>
  <c r="D44" i="43"/>
  <c r="D45" i="43"/>
  <c r="D46" i="43"/>
  <c r="D47" i="43"/>
  <c r="D48" i="43"/>
  <c r="D49" i="43"/>
  <c r="D31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15" i="43"/>
  <c r="D11" i="43"/>
  <c r="D12" i="43"/>
  <c r="D13" i="43"/>
  <c r="D10" i="43"/>
  <c r="C3054" i="43"/>
  <c r="D3054" i="43"/>
  <c r="C3055" i="43"/>
  <c r="D3055" i="43"/>
  <c r="C3056" i="43"/>
  <c r="D3056" i="43"/>
  <c r="C3057" i="43"/>
  <c r="D3057" i="43"/>
  <c r="D3053" i="43"/>
  <c r="C3053" i="43"/>
  <c r="C3034" i="43"/>
  <c r="D3034" i="43"/>
  <c r="C3035" i="43"/>
  <c r="D3035" i="43"/>
  <c r="C3036" i="43"/>
  <c r="D3036" i="43"/>
  <c r="C3037" i="43"/>
  <c r="D3037" i="43"/>
  <c r="C3038" i="43"/>
  <c r="D3038" i="43"/>
  <c r="C3039" i="43"/>
  <c r="D3039" i="43"/>
  <c r="C3040" i="43"/>
  <c r="D3040" i="43"/>
  <c r="C3041" i="43"/>
  <c r="D3041" i="43"/>
  <c r="C3042" i="43"/>
  <c r="D3042" i="43"/>
  <c r="C3043" i="43"/>
  <c r="D3043" i="43"/>
  <c r="C3044" i="43"/>
  <c r="D3044" i="43"/>
  <c r="C3045" i="43"/>
  <c r="D3045" i="43"/>
  <c r="C3046" i="43"/>
  <c r="D3046" i="43"/>
  <c r="C3047" i="43"/>
  <c r="D3047" i="43"/>
  <c r="C3048" i="43"/>
  <c r="D3048" i="43"/>
  <c r="C3049" i="43"/>
  <c r="D3049" i="43"/>
  <c r="C3050" i="43"/>
  <c r="D3050" i="43"/>
  <c r="C3051" i="43"/>
  <c r="D3051" i="43"/>
  <c r="D3033" i="43"/>
  <c r="C3033" i="43"/>
  <c r="C3024" i="43"/>
  <c r="D3024" i="43"/>
  <c r="C3025" i="43"/>
  <c r="D3025" i="43"/>
  <c r="C3026" i="43"/>
  <c r="D3026" i="43"/>
  <c r="C3027" i="43"/>
  <c r="D3027" i="43"/>
  <c r="C3028" i="43"/>
  <c r="D3028" i="43"/>
  <c r="C3029" i="43"/>
  <c r="D3029" i="43"/>
  <c r="C3030" i="43"/>
  <c r="D3030" i="43"/>
  <c r="C3031" i="43"/>
  <c r="D3031" i="43"/>
  <c r="D3023" i="43"/>
  <c r="C3023" i="43"/>
  <c r="D3021" i="43"/>
  <c r="C3021" i="43"/>
  <c r="D2055" i="43"/>
  <c r="C2055" i="43"/>
  <c r="D2053" i="43"/>
  <c r="C2053" i="43"/>
  <c r="D2052" i="43"/>
  <c r="C2052" i="43"/>
  <c r="D2049" i="43"/>
  <c r="C2049" i="43"/>
  <c r="D2048" i="43"/>
  <c r="C2048" i="43"/>
  <c r="D59" i="43"/>
  <c r="D72" i="43"/>
  <c r="D71" i="43"/>
  <c r="D70" i="43"/>
  <c r="D69" i="43"/>
  <c r="D67" i="43"/>
  <c r="D66" i="43"/>
  <c r="D63" i="43"/>
  <c r="D62" i="43"/>
  <c r="C3058" i="43"/>
  <c r="D3059" i="43"/>
  <c r="D3058" i="43"/>
  <c r="C3059" i="43"/>
  <c r="C3069" i="43"/>
  <c r="D3067" i="43"/>
  <c r="C3067" i="43"/>
  <c r="D3066" i="43"/>
  <c r="C3066" i="43"/>
  <c r="D3063" i="43"/>
  <c r="C3063" i="43"/>
  <c r="D3062" i="43"/>
  <c r="C3062" i="43"/>
  <c r="C2045" i="43"/>
  <c r="C2044" i="43" s="1"/>
  <c r="C2031" i="43"/>
  <c r="C2032" i="43"/>
  <c r="C2033" i="43"/>
  <c r="C2034" i="43"/>
  <c r="C2035" i="43"/>
  <c r="C2036" i="43"/>
  <c r="C2037" i="43"/>
  <c r="C2038" i="43"/>
  <c r="C2039" i="43"/>
  <c r="C2040" i="43"/>
  <c r="C2041" i="43"/>
  <c r="C2042" i="43"/>
  <c r="C2043" i="43"/>
  <c r="C2030" i="43"/>
  <c r="C2020" i="43"/>
  <c r="C2021" i="43"/>
  <c r="C2022" i="43"/>
  <c r="C2023" i="43"/>
  <c r="C2024" i="43"/>
  <c r="C2025" i="43"/>
  <c r="C2026" i="43"/>
  <c r="C2027" i="43"/>
  <c r="C2028" i="43"/>
  <c r="C2019" i="43"/>
  <c r="D2045" i="43"/>
  <c r="D2044" i="43" s="1"/>
  <c r="D2031" i="43"/>
  <c r="D2032" i="43"/>
  <c r="D2033" i="43"/>
  <c r="D2034" i="43"/>
  <c r="D2035" i="43"/>
  <c r="D2036" i="43"/>
  <c r="D2037" i="43"/>
  <c r="D2038" i="43"/>
  <c r="D2039" i="43"/>
  <c r="D2040" i="43"/>
  <c r="D2041" i="43"/>
  <c r="D2042" i="43"/>
  <c r="D2043" i="43"/>
  <c r="D2030" i="43"/>
  <c r="D2020" i="43"/>
  <c r="D2021" i="43"/>
  <c r="D2022" i="43"/>
  <c r="D2023" i="43"/>
  <c r="D2024" i="43"/>
  <c r="D2025" i="43"/>
  <c r="D2026" i="43"/>
  <c r="D2027" i="43"/>
  <c r="D2028" i="43"/>
  <c r="D2019" i="43"/>
  <c r="C2043" i="35"/>
  <c r="E2043" i="35" s="1"/>
  <c r="E2039" i="35"/>
  <c r="E2033" i="35"/>
  <c r="D2044" i="35"/>
  <c r="D3069" i="43"/>
  <c r="CQ298" i="43"/>
  <c r="CQ278" i="43" s="1"/>
  <c r="CP298" i="43"/>
  <c r="CP278" i="43" s="1"/>
  <c r="D61" i="43" l="1"/>
  <c r="E3050" i="43"/>
  <c r="E3055" i="43"/>
  <c r="E3059" i="43"/>
  <c r="E3041" i="43"/>
  <c r="E3069" i="43"/>
  <c r="E2053" i="43"/>
  <c r="E3033" i="43"/>
  <c r="E3046" i="43"/>
  <c r="E3042" i="43"/>
  <c r="E3038" i="43"/>
  <c r="E3045" i="43"/>
  <c r="E3037" i="43"/>
  <c r="C3052" i="43"/>
  <c r="C2018" i="43"/>
  <c r="D3065" i="43"/>
  <c r="D2047" i="43"/>
  <c r="D2051" i="43"/>
  <c r="E3051" i="43"/>
  <c r="E3049" i="43"/>
  <c r="E3047" i="43"/>
  <c r="E3043" i="43"/>
  <c r="E3039" i="43"/>
  <c r="E3035" i="43"/>
  <c r="D3052" i="43"/>
  <c r="D3032" i="43" s="1"/>
  <c r="E2049" i="43"/>
  <c r="E3048" i="43"/>
  <c r="D14" i="43"/>
  <c r="E3063" i="43"/>
  <c r="E3056" i="43"/>
  <c r="E3054" i="43"/>
  <c r="E3058" i="43"/>
  <c r="C3020" i="43"/>
  <c r="E3044" i="43"/>
  <c r="E3040" i="43"/>
  <c r="E3036" i="43"/>
  <c r="E3034" i="43"/>
  <c r="E3057" i="43"/>
  <c r="E3067" i="43"/>
  <c r="D3061" i="43"/>
  <c r="E3053" i="43"/>
  <c r="E2019" i="43"/>
  <c r="D2029" i="43"/>
  <c r="C2044" i="35"/>
  <c r="C2048" i="35" s="1"/>
  <c r="E2044" i="43"/>
  <c r="E2045" i="43"/>
  <c r="E3031" i="43"/>
  <c r="D3020" i="43"/>
  <c r="D3022" i="43"/>
  <c r="C3022" i="43"/>
  <c r="D9" i="43"/>
  <c r="E2028" i="43"/>
  <c r="E2027" i="43"/>
  <c r="E2026" i="43"/>
  <c r="E2025" i="43"/>
  <c r="E2024" i="43"/>
  <c r="E2023" i="43"/>
  <c r="E2022" i="43"/>
  <c r="E2021" i="43"/>
  <c r="E2020" i="43"/>
  <c r="C2029" i="43"/>
  <c r="E2030" i="43"/>
  <c r="E2043" i="43"/>
  <c r="E2042" i="43"/>
  <c r="E2041" i="43"/>
  <c r="E2040" i="43"/>
  <c r="E2039" i="43"/>
  <c r="E2038" i="43"/>
  <c r="E2037" i="43"/>
  <c r="E2036" i="43"/>
  <c r="E2035" i="43"/>
  <c r="E2034" i="43"/>
  <c r="E2033" i="43"/>
  <c r="E2032" i="43"/>
  <c r="E2031" i="43"/>
  <c r="E2048" i="43"/>
  <c r="C2047" i="43"/>
  <c r="E2052" i="43"/>
  <c r="C2051" i="43"/>
  <c r="E2055" i="43"/>
  <c r="D2018" i="43"/>
  <c r="E3021" i="43"/>
  <c r="E3030" i="43"/>
  <c r="E3029" i="43"/>
  <c r="E3028" i="43"/>
  <c r="E3027" i="43"/>
  <c r="E3026" i="43"/>
  <c r="E3025" i="43"/>
  <c r="E3024" i="43"/>
  <c r="E3023" i="43"/>
  <c r="E3062" i="43"/>
  <c r="C3061" i="43"/>
  <c r="E3066" i="43"/>
  <c r="C3065" i="43"/>
  <c r="D24" i="65"/>
  <c r="E24" i="65"/>
  <c r="F24" i="65"/>
  <c r="G24" i="65"/>
  <c r="I33" i="64"/>
  <c r="K33" i="64" s="1"/>
  <c r="I35" i="64"/>
  <c r="K35" i="64" s="1"/>
  <c r="I37" i="64"/>
  <c r="K37" i="64" s="1"/>
  <c r="I38" i="64"/>
  <c r="K38" i="64" s="1"/>
  <c r="I30" i="64"/>
  <c r="K30" i="64" s="1"/>
  <c r="I18" i="64"/>
  <c r="I19" i="64"/>
  <c r="K19" i="64" s="1"/>
  <c r="I20" i="64"/>
  <c r="K20" i="64" s="1"/>
  <c r="I21" i="64"/>
  <c r="K21" i="64" s="1"/>
  <c r="I22" i="64"/>
  <c r="K22" i="64" s="1"/>
  <c r="I23" i="64"/>
  <c r="K23" i="64" s="1"/>
  <c r="I24" i="64"/>
  <c r="K24" i="64" s="1"/>
  <c r="I25" i="64"/>
  <c r="I26" i="64"/>
  <c r="K26" i="64" s="1"/>
  <c r="K18" i="64"/>
  <c r="K25" i="64"/>
  <c r="D13" i="64"/>
  <c r="D28" i="64" s="1"/>
  <c r="E13" i="64"/>
  <c r="E28" i="64" s="1"/>
  <c r="F13" i="64"/>
  <c r="F28" i="64" s="1"/>
  <c r="G13" i="64"/>
  <c r="G28" i="64" s="1"/>
  <c r="H13" i="64"/>
  <c r="H28" i="64" s="1"/>
  <c r="C13" i="64"/>
  <c r="C28" i="64" s="1"/>
  <c r="D9" i="64"/>
  <c r="E9" i="64"/>
  <c r="F9" i="64"/>
  <c r="G9" i="64"/>
  <c r="H9" i="64"/>
  <c r="C9" i="64"/>
  <c r="I15" i="64"/>
  <c r="K15" i="64" s="1"/>
  <c r="I14" i="64"/>
  <c r="I11" i="64"/>
  <c r="K11" i="64" s="1"/>
  <c r="I10" i="64"/>
  <c r="J13" i="64"/>
  <c r="J28" i="64" s="1"/>
  <c r="J9" i="64"/>
  <c r="H32" i="64" l="1"/>
  <c r="D32" i="64"/>
  <c r="G32" i="64"/>
  <c r="E2044" i="35"/>
  <c r="F32" i="64"/>
  <c r="I17" i="64"/>
  <c r="K17" i="64" s="1"/>
  <c r="C32" i="64"/>
  <c r="C34" i="64" s="1"/>
  <c r="E32" i="64"/>
  <c r="E34" i="64" s="1"/>
  <c r="E36" i="64" s="1"/>
  <c r="H34" i="64"/>
  <c r="H36" i="64" s="1"/>
  <c r="D34" i="64"/>
  <c r="D36" i="64" s="1"/>
  <c r="E3065" i="43"/>
  <c r="E3061" i="43"/>
  <c r="D3060" i="43"/>
  <c r="D3064" i="43" s="1"/>
  <c r="D3068" i="43" s="1"/>
  <c r="E2047" i="43"/>
  <c r="E3052" i="43"/>
  <c r="C3032" i="43"/>
  <c r="E3032" i="43" s="1"/>
  <c r="E2051" i="43"/>
  <c r="E3022" i="43"/>
  <c r="E3020" i="43"/>
  <c r="G34" i="64"/>
  <c r="G36" i="64" s="1"/>
  <c r="F34" i="64"/>
  <c r="F36" i="64" s="1"/>
  <c r="D2046" i="43"/>
  <c r="D2050" i="43" s="1"/>
  <c r="D2054" i="43" s="1"/>
  <c r="E2018" i="43"/>
  <c r="E2029" i="43"/>
  <c r="C2046" i="43"/>
  <c r="K14" i="64"/>
  <c r="I13" i="64"/>
  <c r="K10" i="64"/>
  <c r="I9" i="64"/>
  <c r="K9" i="64" s="1"/>
  <c r="G42" i="63"/>
  <c r="C45" i="63"/>
  <c r="I32" i="64" l="1"/>
  <c r="K13" i="64"/>
  <c r="I28" i="64"/>
  <c r="K28" i="64" s="1"/>
  <c r="C3060" i="43"/>
  <c r="E3060" i="43" s="1"/>
  <c r="K32" i="64"/>
  <c r="C2050" i="43"/>
  <c r="E2046" i="43"/>
  <c r="I34" i="64"/>
  <c r="K34" i="64" s="1"/>
  <c r="C36" i="64"/>
  <c r="I36" i="64" s="1"/>
  <c r="K36" i="64" s="1"/>
  <c r="E6" i="49"/>
  <c r="BS218" i="59"/>
  <c r="BT218" i="59"/>
  <c r="BU218" i="59"/>
  <c r="BV218" i="59"/>
  <c r="BW218" i="59"/>
  <c r="BX218" i="59"/>
  <c r="BY218" i="59"/>
  <c r="BZ218" i="59"/>
  <c r="CA218" i="59"/>
  <c r="CB218" i="59"/>
  <c r="CC218" i="59"/>
  <c r="C15" i="56"/>
  <c r="H27" i="60"/>
  <c r="C2049" i="49"/>
  <c r="C3064" i="43" l="1"/>
  <c r="C3068" i="43" s="1"/>
  <c r="E3068" i="43" s="1"/>
  <c r="C2054" i="43"/>
  <c r="E2054" i="43" s="1"/>
  <c r="E2050" i="43"/>
  <c r="BR218" i="59"/>
  <c r="C2082" i="49"/>
  <c r="D2075" i="49"/>
  <c r="D2049" i="49"/>
  <c r="D2040" i="49"/>
  <c r="C2040" i="49"/>
  <c r="D2026" i="49"/>
  <c r="C2026" i="49"/>
  <c r="E3064" i="43" l="1"/>
  <c r="C2058" i="49"/>
  <c r="C2065" i="49" s="1"/>
  <c r="C2084" i="49" s="1"/>
  <c r="D2058" i="49"/>
  <c r="D2065" i="49" s="1"/>
  <c r="D2084" i="49" s="1"/>
  <c r="D1076" i="49"/>
  <c r="C1076" i="49"/>
  <c r="D1021" i="49"/>
  <c r="C1021" i="49"/>
  <c r="C1058" i="49" s="1"/>
  <c r="D1036" i="49"/>
  <c r="D8" i="49"/>
  <c r="D8" i="46"/>
  <c r="C8" i="49"/>
  <c r="C1065" i="49" l="1"/>
  <c r="C1088" i="49" s="1"/>
  <c r="D1058" i="49"/>
  <c r="D1065" i="49" s="1"/>
  <c r="D1088" i="49" s="1"/>
  <c r="D9" i="50" l="1"/>
  <c r="D2011" i="50"/>
  <c r="D1009" i="50"/>
  <c r="BV327" i="50"/>
  <c r="BW327" i="50"/>
  <c r="BX327" i="50"/>
  <c r="BY327" i="50"/>
  <c r="BZ327" i="50"/>
  <c r="CA327" i="50"/>
  <c r="CB327" i="50"/>
  <c r="CC327" i="50"/>
  <c r="CD327" i="50"/>
  <c r="CE327" i="50"/>
  <c r="CF327" i="50"/>
  <c r="CG327" i="50"/>
  <c r="CH327" i="50"/>
  <c r="CI327" i="50"/>
  <c r="CJ327" i="50"/>
  <c r="CK327" i="50"/>
  <c r="CL327" i="50"/>
  <c r="CM327" i="50"/>
  <c r="CN327" i="50"/>
  <c r="CO327" i="50"/>
  <c r="CP327" i="50"/>
  <c r="CQ327" i="50"/>
  <c r="CR327" i="50"/>
  <c r="BU327" i="50"/>
  <c r="BV291" i="50"/>
  <c r="BW291" i="50"/>
  <c r="BX291" i="50"/>
  <c r="BY291" i="50"/>
  <c r="BZ291" i="50"/>
  <c r="CA291" i="50"/>
  <c r="CB291" i="50"/>
  <c r="CC291" i="50"/>
  <c r="CD291" i="50"/>
  <c r="CE291" i="50"/>
  <c r="CF291" i="50"/>
  <c r="CG291" i="50"/>
  <c r="CH291" i="50"/>
  <c r="CI291" i="50"/>
  <c r="CJ291" i="50"/>
  <c r="CK291" i="50"/>
  <c r="CL291" i="50"/>
  <c r="CM291" i="50"/>
  <c r="CN291" i="50"/>
  <c r="CO291" i="50"/>
  <c r="CP291" i="50"/>
  <c r="CQ291" i="50"/>
  <c r="CR291" i="50"/>
  <c r="BU291" i="50"/>
  <c r="B14" i="46"/>
  <c r="BS371" i="46"/>
  <c r="BT371" i="46"/>
  <c r="BU371" i="46"/>
  <c r="BV371" i="46"/>
  <c r="BW371" i="46"/>
  <c r="BX371" i="46"/>
  <c r="BY371" i="46"/>
  <c r="BZ371" i="46"/>
  <c r="CA371" i="46"/>
  <c r="CB371" i="46"/>
  <c r="CC371" i="46"/>
  <c r="CD371" i="46"/>
  <c r="CE371" i="46"/>
  <c r="CF371" i="46"/>
  <c r="CG371" i="46"/>
  <c r="CH371" i="46"/>
  <c r="CI371" i="46"/>
  <c r="CJ371" i="46"/>
  <c r="CK371" i="46"/>
  <c r="CL371" i="46"/>
  <c r="CM371" i="46"/>
  <c r="CN371" i="46"/>
  <c r="CO371" i="46"/>
  <c r="BR371" i="46"/>
  <c r="BS291" i="46"/>
  <c r="BS323" i="46" s="1"/>
  <c r="BT291" i="46"/>
  <c r="BT323" i="46" s="1"/>
  <c r="BU291" i="46"/>
  <c r="BU323" i="46" s="1"/>
  <c r="BV291" i="46"/>
  <c r="BV323" i="46" s="1"/>
  <c r="BW291" i="46"/>
  <c r="BW323" i="46" s="1"/>
  <c r="BX291" i="46"/>
  <c r="BX323" i="46" s="1"/>
  <c r="BY291" i="46"/>
  <c r="BY323" i="46" s="1"/>
  <c r="BZ291" i="46"/>
  <c r="BZ323" i="46" s="1"/>
  <c r="CA291" i="46"/>
  <c r="CA323" i="46" s="1"/>
  <c r="CB291" i="46"/>
  <c r="CB323" i="46" s="1"/>
  <c r="CC291" i="46"/>
  <c r="CC323" i="46" s="1"/>
  <c r="CD291" i="46"/>
  <c r="CD323" i="46" s="1"/>
  <c r="CE291" i="46"/>
  <c r="CE323" i="46" s="1"/>
  <c r="CF291" i="46"/>
  <c r="CF323" i="46" s="1"/>
  <c r="CG291" i="46"/>
  <c r="CG323" i="46" s="1"/>
  <c r="CH291" i="46"/>
  <c r="CH323" i="46" s="1"/>
  <c r="CI291" i="46"/>
  <c r="CI323" i="46" s="1"/>
  <c r="CJ291" i="46"/>
  <c r="CJ323" i="46" s="1"/>
  <c r="CK291" i="46"/>
  <c r="CK323" i="46" s="1"/>
  <c r="CL291" i="46"/>
  <c r="CL323" i="46" s="1"/>
  <c r="CM291" i="46"/>
  <c r="CM323" i="46" s="1"/>
  <c r="CN291" i="46"/>
  <c r="CN323" i="46" s="1"/>
  <c r="CO291" i="46"/>
  <c r="BR291" i="46"/>
  <c r="BR241" i="46"/>
  <c r="BS241" i="46"/>
  <c r="BT241" i="46"/>
  <c r="BU241" i="46"/>
  <c r="BV241" i="46"/>
  <c r="BW241" i="46"/>
  <c r="BX241" i="46"/>
  <c r="BY241" i="46"/>
  <c r="BZ241" i="46"/>
  <c r="CA241" i="46"/>
  <c r="CB241" i="46"/>
  <c r="CC241" i="46"/>
  <c r="CD241" i="46"/>
  <c r="CE241" i="46"/>
  <c r="CF241" i="46"/>
  <c r="CG241" i="46"/>
  <c r="CH241" i="46"/>
  <c r="CI241" i="46"/>
  <c r="CJ241" i="46"/>
  <c r="CK241" i="46"/>
  <c r="CL241" i="46"/>
  <c r="CM241" i="46"/>
  <c r="CN241" i="46"/>
  <c r="CO241" i="46"/>
  <c r="BR358" i="46" l="1"/>
  <c r="BR323" i="46"/>
  <c r="CO323" i="46"/>
  <c r="CO358" i="46"/>
  <c r="I43" i="46"/>
  <c r="I1045" i="46"/>
  <c r="I2044" i="46"/>
  <c r="I2010" i="46"/>
  <c r="D2010" i="46"/>
  <c r="I1010" i="46"/>
  <c r="D1010" i="46"/>
  <c r="I8" i="46"/>
  <c r="BF313" i="61"/>
  <c r="BG313" i="61"/>
  <c r="BH313" i="61"/>
  <c r="BI313" i="61"/>
  <c r="BJ313" i="61"/>
  <c r="BK313" i="61"/>
  <c r="BL313" i="61"/>
  <c r="BM313" i="61"/>
  <c r="BN313" i="61"/>
  <c r="BO313" i="61"/>
  <c r="BP313" i="61"/>
  <c r="BQ313" i="61"/>
  <c r="BR313" i="61"/>
  <c r="BS313" i="61"/>
  <c r="BT313" i="61"/>
  <c r="BU313" i="61"/>
  <c r="BV313" i="61"/>
  <c r="BW313" i="61"/>
  <c r="BX313" i="61"/>
  <c r="BY313" i="61"/>
  <c r="BZ313" i="61"/>
  <c r="CA313" i="61"/>
  <c r="CB313" i="61"/>
  <c r="BE313" i="61"/>
  <c r="E16" i="61"/>
  <c r="C17" i="61"/>
  <c r="D17" i="61"/>
  <c r="E8" i="61"/>
  <c r="E9" i="61"/>
  <c r="E10" i="61"/>
  <c r="E11" i="61"/>
  <c r="E12" i="61"/>
  <c r="E13" i="61"/>
  <c r="E14" i="61"/>
  <c r="E15" i="61"/>
  <c r="E7" i="61"/>
  <c r="BF306" i="60"/>
  <c r="BG305" i="60"/>
  <c r="BG310" i="60" s="1"/>
  <c r="BH306" i="60"/>
  <c r="BH305" i="60" s="1"/>
  <c r="BH310" i="60" s="1"/>
  <c r="BI306" i="60"/>
  <c r="BI305" i="60" s="1"/>
  <c r="BI310" i="60" s="1"/>
  <c r="BJ306" i="60"/>
  <c r="BJ305" i="60" s="1"/>
  <c r="BJ310" i="60" s="1"/>
  <c r="BK306" i="60"/>
  <c r="BK305" i="60" s="1"/>
  <c r="BK310" i="60" s="1"/>
  <c r="BL306" i="60"/>
  <c r="BL305" i="60" s="1"/>
  <c r="BL310" i="60" s="1"/>
  <c r="BM306" i="60"/>
  <c r="BM305" i="60" s="1"/>
  <c r="BM310" i="60" s="1"/>
  <c r="BN306" i="60"/>
  <c r="BN305" i="60" s="1"/>
  <c r="BN310" i="60" s="1"/>
  <c r="BO306" i="60"/>
  <c r="BO305" i="60" s="1"/>
  <c r="BO310" i="60" s="1"/>
  <c r="BP306" i="60"/>
  <c r="BP305" i="60" s="1"/>
  <c r="BP310" i="60" s="1"/>
  <c r="BQ306" i="60"/>
  <c r="BQ305" i="60" s="1"/>
  <c r="BQ310" i="60" s="1"/>
  <c r="BR306" i="60"/>
  <c r="BR305" i="60" s="1"/>
  <c r="BR310" i="60" s="1"/>
  <c r="BS306" i="60"/>
  <c r="BS305" i="60" s="1"/>
  <c r="BS310" i="60" s="1"/>
  <c r="BT306" i="60"/>
  <c r="BT305" i="60" s="1"/>
  <c r="BT310" i="60" s="1"/>
  <c r="BU306" i="60"/>
  <c r="BU305" i="60" s="1"/>
  <c r="BU310" i="60" s="1"/>
  <c r="BV306" i="60"/>
  <c r="BV305" i="60" s="1"/>
  <c r="BV310" i="60" s="1"/>
  <c r="BW306" i="60"/>
  <c r="BW305" i="60" s="1"/>
  <c r="BW310" i="60" s="1"/>
  <c r="BX306" i="60"/>
  <c r="BX305" i="60" s="1"/>
  <c r="BX310" i="60" s="1"/>
  <c r="BY306" i="60"/>
  <c r="BY305" i="60" s="1"/>
  <c r="BY310" i="60" s="1"/>
  <c r="BZ306" i="60"/>
  <c r="BZ305" i="60" s="1"/>
  <c r="BZ310" i="60" s="1"/>
  <c r="CA306" i="60"/>
  <c r="CA305" i="60" s="1"/>
  <c r="CA310" i="60" s="1"/>
  <c r="CB306" i="60"/>
  <c r="CB305" i="60" s="1"/>
  <c r="CB310" i="60" s="1"/>
  <c r="CC306" i="60"/>
  <c r="CC305" i="60" s="1"/>
  <c r="CC310" i="60" s="1"/>
  <c r="BF305" i="60"/>
  <c r="BF310" i="60" s="1"/>
  <c r="E17" i="61" l="1"/>
  <c r="G46" i="60"/>
  <c r="I46" i="60"/>
  <c r="F46" i="60"/>
  <c r="F28" i="60" s="1"/>
  <c r="F61" i="60" s="1"/>
  <c r="I16" i="60"/>
  <c r="I17" i="60"/>
  <c r="D14" i="60"/>
  <c r="D18" i="60" s="1"/>
  <c r="E14" i="60"/>
  <c r="E18" i="60" s="1"/>
  <c r="F14" i="60"/>
  <c r="F18" i="60" s="1"/>
  <c r="G14" i="60"/>
  <c r="G18" i="60" s="1"/>
  <c r="H18" i="60"/>
  <c r="C14" i="60"/>
  <c r="I13" i="60"/>
  <c r="I9" i="60"/>
  <c r="E18" i="59"/>
  <c r="D20" i="59"/>
  <c r="C20" i="59"/>
  <c r="E10" i="59"/>
  <c r="E12" i="59"/>
  <c r="E14" i="59"/>
  <c r="E16" i="59"/>
  <c r="E8" i="59"/>
  <c r="E20" i="59" l="1"/>
  <c r="G28" i="60"/>
  <c r="G61" i="60" s="1"/>
  <c r="I28" i="60"/>
  <c r="I61" i="60" s="1"/>
  <c r="I14" i="60"/>
  <c r="I18" i="60" s="1"/>
  <c r="C18" i="60"/>
  <c r="H46" i="60"/>
  <c r="H28" i="60" s="1"/>
  <c r="BD309" i="60" s="1"/>
  <c r="BD305" i="60" s="1"/>
  <c r="BD310" i="60" s="1"/>
  <c r="H61" i="60" l="1"/>
  <c r="G1923" i="56"/>
  <c r="G1925" i="56"/>
  <c r="G1919" i="56"/>
  <c r="G1920" i="56"/>
  <c r="G1921" i="56"/>
  <c r="G1918" i="56"/>
  <c r="CS239" i="56"/>
  <c r="CR239" i="56"/>
  <c r="CQ239" i="56"/>
  <c r="CP239" i="56"/>
  <c r="CO239" i="56"/>
  <c r="CN239" i="56"/>
  <c r="CM239" i="56"/>
  <c r="CL239" i="56"/>
  <c r="CK239" i="56"/>
  <c r="CJ239" i="56"/>
  <c r="CI239" i="56"/>
  <c r="CH239" i="56"/>
  <c r="CG239" i="56"/>
  <c r="CF239" i="56"/>
  <c r="CE239" i="56"/>
  <c r="CD239" i="56"/>
  <c r="CC239" i="56"/>
  <c r="CB239" i="56"/>
  <c r="CA239" i="56"/>
  <c r="BZ239" i="56"/>
  <c r="BY239" i="56"/>
  <c r="BX239" i="56"/>
  <c r="BW239" i="56"/>
  <c r="BV239" i="56"/>
  <c r="BW249" i="56"/>
  <c r="BX249" i="56"/>
  <c r="BY249" i="56"/>
  <c r="BZ249" i="56"/>
  <c r="CA249" i="56"/>
  <c r="CB249" i="56"/>
  <c r="CC249" i="56"/>
  <c r="CD249" i="56"/>
  <c r="CE249" i="56"/>
  <c r="CF249" i="56"/>
  <c r="CG249" i="56"/>
  <c r="CH249" i="56"/>
  <c r="CI249" i="56"/>
  <c r="CJ249" i="56"/>
  <c r="CK249" i="56"/>
  <c r="CL249" i="56"/>
  <c r="CM249" i="56"/>
  <c r="CN249" i="56"/>
  <c r="CO249" i="56"/>
  <c r="CP249" i="56"/>
  <c r="CQ249" i="56"/>
  <c r="CR249" i="56"/>
  <c r="CS249" i="56"/>
  <c r="BV249" i="56"/>
  <c r="G1905" i="56" l="1"/>
  <c r="BW229" i="56"/>
  <c r="BX229" i="56"/>
  <c r="BY229" i="56"/>
  <c r="BZ229" i="56"/>
  <c r="CA229" i="56"/>
  <c r="CB229" i="56"/>
  <c r="CC229" i="56"/>
  <c r="CD229" i="56"/>
  <c r="CE229" i="56"/>
  <c r="CF229" i="56"/>
  <c r="CG229" i="56"/>
  <c r="CH229" i="56"/>
  <c r="CI229" i="56"/>
  <c r="CJ229" i="56"/>
  <c r="CK229" i="56"/>
  <c r="CL229" i="56"/>
  <c r="CM229" i="56"/>
  <c r="CN229" i="56"/>
  <c r="CO229" i="56"/>
  <c r="CP229" i="56"/>
  <c r="CQ229" i="56"/>
  <c r="CR229" i="56"/>
  <c r="CS229" i="56"/>
  <c r="BV229" i="56"/>
  <c r="F1922" i="56"/>
  <c r="E1922" i="56"/>
  <c r="D1922" i="56"/>
  <c r="C1922" i="56"/>
  <c r="G1917" i="56"/>
  <c r="F1917" i="56"/>
  <c r="E1917" i="56"/>
  <c r="E1926" i="56" s="1"/>
  <c r="D1917" i="56"/>
  <c r="C1917" i="56"/>
  <c r="C1926" i="56" s="1"/>
  <c r="F1910" i="56"/>
  <c r="E1910" i="56"/>
  <c r="D1910" i="56"/>
  <c r="C1910" i="56"/>
  <c r="F1905" i="56"/>
  <c r="F1913" i="56" s="1"/>
  <c r="E1905" i="56"/>
  <c r="E1913" i="56" s="1"/>
  <c r="D1905" i="56"/>
  <c r="D1913" i="56" s="1"/>
  <c r="C1905" i="56"/>
  <c r="C1913" i="56" s="1"/>
  <c r="D916" i="56"/>
  <c r="C916" i="56"/>
  <c r="D911" i="56"/>
  <c r="C911" i="56"/>
  <c r="C9" i="50"/>
  <c r="B42" i="50"/>
  <c r="B43" i="50"/>
  <c r="B33" i="50"/>
  <c r="B34" i="50"/>
  <c r="B35" i="50"/>
  <c r="B37" i="50"/>
  <c r="B38" i="50"/>
  <c r="B39" i="50"/>
  <c r="B40" i="50"/>
  <c r="B41" i="50"/>
  <c r="B11" i="50"/>
  <c r="B12" i="50"/>
  <c r="B13" i="50"/>
  <c r="B14" i="50"/>
  <c r="B15" i="50"/>
  <c r="B16" i="50"/>
  <c r="B17" i="50"/>
  <c r="B18" i="50"/>
  <c r="B19" i="50"/>
  <c r="B20" i="50"/>
  <c r="B21" i="50"/>
  <c r="B22" i="50"/>
  <c r="B23" i="50"/>
  <c r="B24" i="50"/>
  <c r="B25" i="50"/>
  <c r="B26" i="50"/>
  <c r="B27" i="50"/>
  <c r="B28" i="50"/>
  <c r="B29" i="50"/>
  <c r="B30" i="50"/>
  <c r="B31" i="50"/>
  <c r="B32" i="50"/>
  <c r="B10" i="50"/>
  <c r="C1009" i="50"/>
  <c r="C2011" i="50"/>
  <c r="I31" i="56"/>
  <c r="I30" i="56"/>
  <c r="I29" i="56"/>
  <c r="I27" i="56"/>
  <c r="I26" i="56"/>
  <c r="I25" i="56"/>
  <c r="I24" i="56"/>
  <c r="H23" i="56"/>
  <c r="G23" i="56"/>
  <c r="F23" i="56"/>
  <c r="E23" i="56"/>
  <c r="D23" i="56"/>
  <c r="C23" i="56"/>
  <c r="I18" i="56"/>
  <c r="I17" i="56"/>
  <c r="I16" i="56"/>
  <c r="H15" i="56"/>
  <c r="G15" i="56"/>
  <c r="F15" i="56"/>
  <c r="E15" i="56"/>
  <c r="D15" i="56"/>
  <c r="I14" i="56"/>
  <c r="I13" i="56"/>
  <c r="I12" i="56"/>
  <c r="I11" i="56"/>
  <c r="H10" i="56"/>
  <c r="G10" i="56"/>
  <c r="F10" i="56"/>
  <c r="E10" i="56"/>
  <c r="D10" i="56"/>
  <c r="C10" i="56"/>
  <c r="C19" i="56" s="1"/>
  <c r="G1910" i="56" l="1"/>
  <c r="G1913" i="56" s="1"/>
  <c r="G1922" i="56"/>
  <c r="G1926" i="56" s="1"/>
  <c r="C919" i="56"/>
  <c r="C921" i="56" s="1"/>
  <c r="D919" i="56"/>
  <c r="D921" i="56" s="1"/>
  <c r="C33" i="56"/>
  <c r="G33" i="56"/>
  <c r="E19" i="56"/>
  <c r="I15" i="56"/>
  <c r="F33" i="56"/>
  <c r="D1926" i="56"/>
  <c r="G19" i="56"/>
  <c r="D33" i="56"/>
  <c r="H33" i="56"/>
  <c r="D19" i="56"/>
  <c r="H19" i="56"/>
  <c r="I10" i="56"/>
  <c r="I23" i="56"/>
  <c r="I33" i="56" s="1"/>
  <c r="F19" i="56"/>
  <c r="E33" i="56"/>
  <c r="F1926" i="56"/>
  <c r="G16" i="35"/>
  <c r="G19" i="35" s="1"/>
  <c r="F16" i="35"/>
  <c r="D16" i="35"/>
  <c r="D19" i="35" s="1"/>
  <c r="D22" i="35" s="1"/>
  <c r="I20" i="35"/>
  <c r="J20" i="35"/>
  <c r="I21" i="35"/>
  <c r="J21" i="35"/>
  <c r="K15" i="35"/>
  <c r="H10" i="35"/>
  <c r="H11" i="35"/>
  <c r="H12" i="35"/>
  <c r="H13" i="35"/>
  <c r="H14" i="35"/>
  <c r="H15" i="35"/>
  <c r="H17" i="35"/>
  <c r="H18" i="35"/>
  <c r="H20" i="35"/>
  <c r="H21" i="35"/>
  <c r="H9" i="35"/>
  <c r="E17" i="35"/>
  <c r="E18" i="35"/>
  <c r="E20" i="35"/>
  <c r="E21" i="35"/>
  <c r="E10" i="35"/>
  <c r="E11" i="35"/>
  <c r="E12" i="35"/>
  <c r="E13" i="35"/>
  <c r="E14" i="35"/>
  <c r="E15" i="35"/>
  <c r="E9" i="35"/>
  <c r="J3044" i="35"/>
  <c r="I3044" i="35"/>
  <c r="J3043" i="35"/>
  <c r="I3043" i="35"/>
  <c r="E3041" i="35"/>
  <c r="E3043" i="35"/>
  <c r="E3044" i="35"/>
  <c r="E3037" i="35"/>
  <c r="E3038" i="35"/>
  <c r="E3036" i="35"/>
  <c r="C3040" i="35"/>
  <c r="I19" i="56" l="1"/>
  <c r="K20" i="35"/>
  <c r="K3043" i="35"/>
  <c r="K21" i="35"/>
  <c r="K3044" i="35"/>
  <c r="I16" i="35"/>
  <c r="J16" i="35"/>
  <c r="C3042" i="35"/>
  <c r="E16" i="35"/>
  <c r="F19" i="35"/>
  <c r="H16" i="35"/>
  <c r="K16" i="35" l="1"/>
  <c r="G22" i="35"/>
  <c r="J22" i="35" s="1"/>
  <c r="J19" i="35"/>
  <c r="I19" i="35"/>
  <c r="F22" i="35"/>
  <c r="H19" i="35"/>
  <c r="C22" i="35"/>
  <c r="E22" i="35" s="1"/>
  <c r="E19" i="35"/>
  <c r="C3045" i="35"/>
  <c r="J3041" i="35"/>
  <c r="I3041" i="35"/>
  <c r="G3040" i="35"/>
  <c r="D3040" i="35"/>
  <c r="D3042" i="35" s="1"/>
  <c r="K3039" i="35"/>
  <c r="K3038" i="35"/>
  <c r="K3037" i="35"/>
  <c r="K3036" i="35"/>
  <c r="D2048" i="35"/>
  <c r="K3041" i="35" l="1"/>
  <c r="K19" i="35"/>
  <c r="H3040" i="35"/>
  <c r="I3040" i="35"/>
  <c r="G3042" i="35"/>
  <c r="G3045" i="35" s="1"/>
  <c r="J3040" i="35"/>
  <c r="E3040" i="35"/>
  <c r="F3045" i="35"/>
  <c r="I3045" i="35" s="1"/>
  <c r="I3042" i="35"/>
  <c r="H22" i="35"/>
  <c r="I22" i="35"/>
  <c r="K22" i="35" s="1"/>
  <c r="J3042" i="35" l="1"/>
  <c r="K3042" i="35" s="1"/>
  <c r="H3042" i="35"/>
  <c r="E2048" i="35"/>
  <c r="K3040" i="35"/>
  <c r="H3045" i="35"/>
  <c r="D3045" i="35"/>
  <c r="J3045" i="35" s="1"/>
  <c r="E3042" i="35"/>
  <c r="E3045" i="35" l="1"/>
  <c r="K3045" i="35"/>
  <c r="B1017" i="50" l="1"/>
  <c r="B2026" i="50"/>
  <c r="B2027" i="50"/>
  <c r="B2028" i="50"/>
  <c r="B2029" i="50"/>
  <c r="B2032" i="50"/>
  <c r="B2033" i="50"/>
  <c r="B2034" i="50"/>
  <c r="B2035" i="50"/>
  <c r="B2036" i="50"/>
  <c r="B2025" i="50"/>
  <c r="B2014" i="50"/>
  <c r="B2015" i="50"/>
  <c r="B2016" i="50"/>
  <c r="B2017" i="50"/>
  <c r="B2018" i="50"/>
  <c r="B2019" i="50"/>
  <c r="B2020" i="50"/>
  <c r="B2021" i="50"/>
  <c r="B2022" i="50"/>
  <c r="B2023" i="50"/>
  <c r="B2013" i="50"/>
  <c r="B1025" i="50"/>
  <c r="B1026" i="50"/>
  <c r="B1027" i="50"/>
  <c r="B1028" i="50"/>
  <c r="B1029" i="50"/>
  <c r="B1030" i="50"/>
  <c r="B1031" i="50"/>
  <c r="B1032" i="50"/>
  <c r="B1033" i="50"/>
  <c r="B1034" i="50"/>
  <c r="B1037" i="50"/>
  <c r="B1038" i="50"/>
  <c r="B1039" i="50"/>
  <c r="B1011" i="50"/>
  <c r="B1012" i="50"/>
  <c r="B1013" i="50"/>
  <c r="B1014" i="50"/>
  <c r="B1015" i="50"/>
  <c r="B1016" i="50"/>
  <c r="B1018" i="50"/>
  <c r="B1019" i="50"/>
  <c r="B1020" i="50"/>
  <c r="B1021" i="50"/>
  <c r="B1022" i="50"/>
  <c r="B1024" i="50"/>
  <c r="BN342" i="50"/>
  <c r="BN343" i="50"/>
  <c r="BN344" i="50"/>
  <c r="BN345" i="50"/>
  <c r="BN347" i="50"/>
  <c r="BN348" i="50"/>
  <c r="BN349" i="50"/>
  <c r="BN350" i="50"/>
  <c r="BN351" i="50"/>
  <c r="BN352" i="50"/>
  <c r="BN341" i="50"/>
  <c r="BN340" i="50"/>
  <c r="BN330" i="50"/>
  <c r="BN331" i="50"/>
  <c r="BN332" i="50"/>
  <c r="BN333" i="50"/>
  <c r="BN334" i="50"/>
  <c r="BN335" i="50"/>
  <c r="BN336" i="50"/>
  <c r="BN337" i="50"/>
  <c r="BN338" i="50"/>
  <c r="BN339" i="50"/>
  <c r="BN329" i="50"/>
  <c r="BN328" i="50"/>
  <c r="BN307" i="50"/>
  <c r="BN308" i="50"/>
  <c r="BN309" i="50"/>
  <c r="BN310" i="50"/>
  <c r="BN311" i="50"/>
  <c r="BN312" i="50"/>
  <c r="BN313" i="50"/>
  <c r="BN314" i="50"/>
  <c r="BN315" i="50"/>
  <c r="BN316" i="50"/>
  <c r="BN319" i="50"/>
  <c r="BN320" i="50"/>
  <c r="BN321" i="50"/>
  <c r="BN306" i="50"/>
  <c r="BN305" i="50"/>
  <c r="BN294" i="50"/>
  <c r="BN295" i="50"/>
  <c r="BN296" i="50"/>
  <c r="BN297" i="50"/>
  <c r="BN298" i="50"/>
  <c r="BN299" i="50"/>
  <c r="BN300" i="50"/>
  <c r="BN301" i="50"/>
  <c r="BN302" i="50"/>
  <c r="BN303" i="50"/>
  <c r="BN304" i="50"/>
  <c r="BN293" i="50"/>
  <c r="BN292" i="50"/>
  <c r="BU328" i="50"/>
  <c r="BU340" i="50"/>
  <c r="BU353" i="50" l="1"/>
  <c r="BY292" i="50"/>
  <c r="BY305" i="50"/>
  <c r="CR340" i="50" l="1"/>
  <c r="CQ340" i="50"/>
  <c r="CP340" i="50"/>
  <c r="CO340" i="50"/>
  <c r="CN340" i="50"/>
  <c r="CM340" i="50"/>
  <c r="CL340" i="50"/>
  <c r="CK340" i="50"/>
  <c r="CJ340" i="50"/>
  <c r="CI340" i="50"/>
  <c r="CH340" i="50"/>
  <c r="CG340" i="50"/>
  <c r="CF340" i="50"/>
  <c r="CE340" i="50"/>
  <c r="CD340" i="50"/>
  <c r="CC340" i="50"/>
  <c r="CB340" i="50"/>
  <c r="CA340" i="50"/>
  <c r="BZ340" i="50"/>
  <c r="BY340" i="50"/>
  <c r="BX340" i="50"/>
  <c r="BW340" i="50"/>
  <c r="BV340" i="50"/>
  <c r="CR328" i="50"/>
  <c r="CR353" i="50" s="1"/>
  <c r="CQ328" i="50"/>
  <c r="CP328" i="50"/>
  <c r="CO328" i="50"/>
  <c r="CN328" i="50"/>
  <c r="CN353" i="50" s="1"/>
  <c r="CM328" i="50"/>
  <c r="CL328" i="50"/>
  <c r="CK328" i="50"/>
  <c r="CJ328" i="50"/>
  <c r="CJ353" i="50" s="1"/>
  <c r="CI328" i="50"/>
  <c r="CH328" i="50"/>
  <c r="CG328" i="50"/>
  <c r="CF328" i="50"/>
  <c r="CF353" i="50" s="1"/>
  <c r="CE328" i="50"/>
  <c r="CD328" i="50"/>
  <c r="CC328" i="50"/>
  <c r="CB328" i="50"/>
  <c r="CB353" i="50" s="1"/>
  <c r="CA328" i="50"/>
  <c r="BZ328" i="50"/>
  <c r="BY328" i="50"/>
  <c r="BX328" i="50"/>
  <c r="BX353" i="50" s="1"/>
  <c r="BW328" i="50"/>
  <c r="BV328" i="50"/>
  <c r="BN269" i="50"/>
  <c r="BN270" i="50"/>
  <c r="BN271" i="50"/>
  <c r="BN272" i="50"/>
  <c r="BN273" i="50"/>
  <c r="BN274" i="50"/>
  <c r="BN275" i="50"/>
  <c r="BN276" i="50"/>
  <c r="BN277" i="50"/>
  <c r="BN279" i="50"/>
  <c r="BN280" i="50"/>
  <c r="BN281" i="50"/>
  <c r="BN282" i="50"/>
  <c r="BN283" i="50"/>
  <c r="BN284" i="50"/>
  <c r="BN285" i="50"/>
  <c r="BN268" i="50"/>
  <c r="BN254" i="50"/>
  <c r="BN255" i="50"/>
  <c r="BN256" i="50"/>
  <c r="BN257" i="50"/>
  <c r="BN258" i="50"/>
  <c r="BN259" i="50"/>
  <c r="BN260" i="50"/>
  <c r="BN261" i="50"/>
  <c r="BN262" i="50"/>
  <c r="BN263" i="50"/>
  <c r="BN264" i="50"/>
  <c r="BN265" i="50"/>
  <c r="BN266" i="50"/>
  <c r="BN253" i="50"/>
  <c r="CR305" i="50"/>
  <c r="CQ305" i="50"/>
  <c r="CP305" i="50"/>
  <c r="CO305" i="50"/>
  <c r="CN305" i="50"/>
  <c r="CM305" i="50"/>
  <c r="CL305" i="50"/>
  <c r="CK305" i="50"/>
  <c r="CJ305" i="50"/>
  <c r="CI305" i="50"/>
  <c r="CH305" i="50"/>
  <c r="CG305" i="50"/>
  <c r="CF305" i="50"/>
  <c r="CE305" i="50"/>
  <c r="CD305" i="50"/>
  <c r="CC305" i="50"/>
  <c r="CB305" i="50"/>
  <c r="CA305" i="50"/>
  <c r="BZ305" i="50"/>
  <c r="BX305" i="50"/>
  <c r="BW305" i="50"/>
  <c r="BV305" i="50"/>
  <c r="BU305" i="50"/>
  <c r="CR292" i="50"/>
  <c r="CQ292" i="50"/>
  <c r="CP292" i="50"/>
  <c r="CO292" i="50"/>
  <c r="CO322" i="50" s="1"/>
  <c r="CN292" i="50"/>
  <c r="CM292" i="50"/>
  <c r="CL292" i="50"/>
  <c r="CK292" i="50"/>
  <c r="CK322" i="50" s="1"/>
  <c r="CJ292" i="50"/>
  <c r="CI292" i="50"/>
  <c r="CH292" i="50"/>
  <c r="CG292" i="50"/>
  <c r="CG322" i="50" s="1"/>
  <c r="CF292" i="50"/>
  <c r="CE292" i="50"/>
  <c r="CD292" i="50"/>
  <c r="CC292" i="50"/>
  <c r="CC322" i="50" s="1"/>
  <c r="CB292" i="50"/>
  <c r="CA292" i="50"/>
  <c r="BZ292" i="50"/>
  <c r="BY322" i="50"/>
  <c r="BX292" i="50"/>
  <c r="BX322" i="50" s="1"/>
  <c r="BW292" i="50"/>
  <c r="BW322" i="50" s="1"/>
  <c r="BV292" i="50"/>
  <c r="BV322" i="50" s="1"/>
  <c r="BU292" i="50"/>
  <c r="BU322" i="50" s="1"/>
  <c r="G2046" i="46"/>
  <c r="G2047" i="46"/>
  <c r="G2048" i="46"/>
  <c r="G2049" i="46"/>
  <c r="G2045" i="46"/>
  <c r="G2027" i="46"/>
  <c r="G2028" i="46"/>
  <c r="G2029" i="46"/>
  <c r="G2030" i="46"/>
  <c r="G2031" i="46"/>
  <c r="G2032" i="46"/>
  <c r="G2033" i="46"/>
  <c r="G2034" i="46"/>
  <c r="G2035" i="46"/>
  <c r="G2026" i="46"/>
  <c r="G2013" i="46"/>
  <c r="G2014" i="46"/>
  <c r="G2015" i="46"/>
  <c r="G2016" i="46"/>
  <c r="G2017" i="46"/>
  <c r="G2018" i="46"/>
  <c r="G2019" i="46"/>
  <c r="G2020" i="46"/>
  <c r="G2022" i="46"/>
  <c r="G2023" i="46"/>
  <c r="G2024" i="46"/>
  <c r="G2012" i="46"/>
  <c r="B2041" i="46"/>
  <c r="B2042" i="46"/>
  <c r="B2029" i="46"/>
  <c r="B2030" i="46"/>
  <c r="B2031" i="46"/>
  <c r="B2032" i="46"/>
  <c r="B2033" i="46"/>
  <c r="B2034" i="46"/>
  <c r="B2036" i="46"/>
  <c r="B2037" i="46"/>
  <c r="B2038" i="46"/>
  <c r="B2039" i="46"/>
  <c r="B2040" i="46"/>
  <c r="B2028" i="46"/>
  <c r="B2016" i="46"/>
  <c r="B2015" i="46"/>
  <c r="B2013" i="46"/>
  <c r="B2014" i="46"/>
  <c r="B2017" i="46"/>
  <c r="B2018" i="46"/>
  <c r="B2019" i="46"/>
  <c r="B2020" i="46"/>
  <c r="B2021" i="46"/>
  <c r="B2012" i="46"/>
  <c r="H2044" i="46"/>
  <c r="H2010" i="46"/>
  <c r="C2010" i="46"/>
  <c r="G1047" i="46"/>
  <c r="G1048" i="46"/>
  <c r="G1049" i="46"/>
  <c r="G1050" i="46"/>
  <c r="G1046" i="46"/>
  <c r="G1041" i="46"/>
  <c r="G1042" i="46"/>
  <c r="G1034" i="46"/>
  <c r="G1035" i="46"/>
  <c r="G1036" i="46"/>
  <c r="G1037" i="46"/>
  <c r="G1038" i="46"/>
  <c r="G1039" i="46"/>
  <c r="G1040" i="46"/>
  <c r="G1033" i="46"/>
  <c r="G1031" i="46"/>
  <c r="G1027" i="46"/>
  <c r="G1028" i="46"/>
  <c r="G1024" i="46"/>
  <c r="G1025" i="46"/>
  <c r="G1026" i="46"/>
  <c r="G1018" i="46"/>
  <c r="G1019" i="46"/>
  <c r="G1020" i="46"/>
  <c r="G1021" i="46"/>
  <c r="G1022" i="46"/>
  <c r="G1023" i="46"/>
  <c r="G1013" i="46"/>
  <c r="G1014" i="46"/>
  <c r="G1015" i="46"/>
  <c r="G1016" i="46"/>
  <c r="G1017" i="46"/>
  <c r="G1012" i="46"/>
  <c r="B1039" i="46"/>
  <c r="B1028" i="46"/>
  <c r="B1029" i="46"/>
  <c r="B1030" i="46"/>
  <c r="B1031" i="46"/>
  <c r="B1032" i="46"/>
  <c r="B1033" i="46"/>
  <c r="B1034" i="46"/>
  <c r="B1035" i="46"/>
  <c r="B1036" i="46"/>
  <c r="B1037" i="46"/>
  <c r="B1038" i="46"/>
  <c r="B1027" i="46"/>
  <c r="B1023" i="46"/>
  <c r="B1024" i="46"/>
  <c r="B1021" i="46"/>
  <c r="B1022" i="46"/>
  <c r="B1013" i="46"/>
  <c r="B1014" i="46"/>
  <c r="B1015" i="46"/>
  <c r="B1016" i="46"/>
  <c r="B1017" i="46"/>
  <c r="B1018" i="46"/>
  <c r="B1019" i="46"/>
  <c r="B1020" i="46"/>
  <c r="B1012" i="46"/>
  <c r="H1045" i="46"/>
  <c r="H1010" i="46"/>
  <c r="C1010" i="46"/>
  <c r="BK432" i="46"/>
  <c r="BK434" i="46"/>
  <c r="BK436" i="46"/>
  <c r="BK437" i="46"/>
  <c r="BK438" i="46"/>
  <c r="BK439" i="46"/>
  <c r="BK435" i="46"/>
  <c r="BK431" i="46"/>
  <c r="BK423" i="46"/>
  <c r="BK424" i="46"/>
  <c r="BK425" i="46"/>
  <c r="BK426" i="46"/>
  <c r="BK427" i="46"/>
  <c r="BK428" i="46"/>
  <c r="BK429" i="46"/>
  <c r="BK430" i="46"/>
  <c r="BK422" i="46"/>
  <c r="BK409" i="46"/>
  <c r="BK410" i="46"/>
  <c r="BK411" i="46"/>
  <c r="BK412" i="46"/>
  <c r="BK413" i="46"/>
  <c r="BK414" i="46"/>
  <c r="BK415" i="46"/>
  <c r="BK416" i="46"/>
  <c r="BK417" i="46"/>
  <c r="BK418" i="46"/>
  <c r="BK419" i="46"/>
  <c r="BK420" i="46"/>
  <c r="BK408" i="46"/>
  <c r="BK421" i="46"/>
  <c r="BK407" i="46"/>
  <c r="BK406" i="46"/>
  <c r="BK404" i="46"/>
  <c r="BK401" i="46"/>
  <c r="BK402" i="46"/>
  <c r="BK403" i="46"/>
  <c r="BK400" i="46"/>
  <c r="BK390" i="46"/>
  <c r="BK391" i="46"/>
  <c r="BK392" i="46"/>
  <c r="BK393" i="46"/>
  <c r="BK394" i="46"/>
  <c r="BK395" i="46"/>
  <c r="BK396" i="46"/>
  <c r="BK397" i="46"/>
  <c r="BK398" i="46"/>
  <c r="BK399" i="46"/>
  <c r="BK389" i="46"/>
  <c r="BK388" i="46"/>
  <c r="BK387" i="46"/>
  <c r="BK374" i="46"/>
  <c r="BK375" i="46"/>
  <c r="BK376" i="46"/>
  <c r="BK377" i="46"/>
  <c r="BK378" i="46"/>
  <c r="BK379" i="46"/>
  <c r="BK380" i="46"/>
  <c r="BK381" i="46"/>
  <c r="BK382" i="46"/>
  <c r="BK384" i="46"/>
  <c r="BK385" i="46"/>
  <c r="BK386" i="46"/>
  <c r="BK373" i="46"/>
  <c r="BK372" i="46"/>
  <c r="BK371" i="46"/>
  <c r="BK364" i="46"/>
  <c r="BK360" i="46"/>
  <c r="BK361" i="46"/>
  <c r="BK362" i="46"/>
  <c r="BK363" i="46"/>
  <c r="BK359" i="46"/>
  <c r="BK358" i="46"/>
  <c r="BK356" i="46"/>
  <c r="BK347" i="46"/>
  <c r="BK348" i="46"/>
  <c r="BK349" i="46"/>
  <c r="BK350" i="46"/>
  <c r="BK351" i="46"/>
  <c r="BK352" i="46"/>
  <c r="BK353" i="46"/>
  <c r="BK354" i="46"/>
  <c r="BK355" i="46"/>
  <c r="BK346" i="46"/>
  <c r="BK345" i="46"/>
  <c r="BK326" i="46"/>
  <c r="BK327" i="46"/>
  <c r="BK328" i="46"/>
  <c r="BK329" i="46"/>
  <c r="BK330" i="46"/>
  <c r="BK331" i="46"/>
  <c r="BK332" i="46"/>
  <c r="BK333" i="46"/>
  <c r="BK334" i="46"/>
  <c r="BK335" i="46"/>
  <c r="BK336" i="46"/>
  <c r="BK337" i="46"/>
  <c r="BK338" i="46"/>
  <c r="BK339" i="46"/>
  <c r="BK340" i="46"/>
  <c r="BK341" i="46"/>
  <c r="BK344" i="46"/>
  <c r="BK325" i="46"/>
  <c r="BK323" i="46"/>
  <c r="BK324" i="46"/>
  <c r="BK320" i="46"/>
  <c r="BK319" i="46"/>
  <c r="BK309" i="46"/>
  <c r="BK310" i="46"/>
  <c r="BK311" i="46"/>
  <c r="BK312" i="46"/>
  <c r="BK313" i="46"/>
  <c r="BK314" i="46"/>
  <c r="BK315" i="46"/>
  <c r="BK316" i="46"/>
  <c r="BK317" i="46"/>
  <c r="BK318" i="46"/>
  <c r="BK308" i="46"/>
  <c r="BK307" i="46"/>
  <c r="BK306" i="46"/>
  <c r="BK294" i="46"/>
  <c r="BK295" i="46"/>
  <c r="BK296" i="46"/>
  <c r="BK297" i="46"/>
  <c r="BK298" i="46"/>
  <c r="BK299" i="46"/>
  <c r="BK300" i="46"/>
  <c r="BK301" i="46"/>
  <c r="BK302" i="46"/>
  <c r="BK303" i="46"/>
  <c r="BK304" i="46"/>
  <c r="BK305" i="46"/>
  <c r="BK293" i="46"/>
  <c r="BK292" i="46"/>
  <c r="BK291" i="46"/>
  <c r="BK278" i="46"/>
  <c r="BK279" i="46"/>
  <c r="BK280" i="46"/>
  <c r="BK281" i="46"/>
  <c r="BK282" i="46"/>
  <c r="BK283" i="46"/>
  <c r="BK263" i="46"/>
  <c r="BK264" i="46"/>
  <c r="BK265" i="46"/>
  <c r="BK266" i="46"/>
  <c r="BK267" i="46"/>
  <c r="BK268" i="46"/>
  <c r="BK269" i="46"/>
  <c r="BK270" i="46"/>
  <c r="BK271" i="46"/>
  <c r="BK272" i="46"/>
  <c r="BK273" i="46"/>
  <c r="BK262" i="46"/>
  <c r="BK244" i="46"/>
  <c r="BK245" i="46"/>
  <c r="BK246" i="46"/>
  <c r="BK247" i="46"/>
  <c r="BK248" i="46"/>
  <c r="BK249" i="46"/>
  <c r="BK250" i="46"/>
  <c r="BK251" i="46"/>
  <c r="BK252" i="46"/>
  <c r="BK253" i="46"/>
  <c r="BK254" i="46"/>
  <c r="BK255" i="46"/>
  <c r="BK256" i="46"/>
  <c r="BK257" i="46"/>
  <c r="BK258" i="46"/>
  <c r="BK259" i="46"/>
  <c r="BK260" i="46"/>
  <c r="BK243" i="46"/>
  <c r="BK236" i="46"/>
  <c r="BK237" i="46"/>
  <c r="BK238" i="46"/>
  <c r="BK235" i="46"/>
  <c r="BK224" i="46"/>
  <c r="BK225" i="46"/>
  <c r="BK226" i="46"/>
  <c r="BK227" i="46"/>
  <c r="BK228" i="46"/>
  <c r="BK229" i="46"/>
  <c r="BK230" i="46"/>
  <c r="BK231" i="46"/>
  <c r="BK232" i="46"/>
  <c r="BK233" i="46"/>
  <c r="BK234" i="46"/>
  <c r="BK223" i="46"/>
  <c r="BK208" i="46"/>
  <c r="BK209" i="46"/>
  <c r="BK210" i="46"/>
  <c r="BK211" i="46"/>
  <c r="BK212" i="46"/>
  <c r="BK213" i="46"/>
  <c r="BK214" i="46"/>
  <c r="BK215" i="46"/>
  <c r="BK216" i="46"/>
  <c r="BK217" i="46"/>
  <c r="BK218" i="46"/>
  <c r="BK220" i="46"/>
  <c r="BK207" i="46"/>
  <c r="BR440" i="46"/>
  <c r="CK372" i="46"/>
  <c r="BR388" i="46"/>
  <c r="BR387" i="46" s="1"/>
  <c r="BS372" i="46"/>
  <c r="BT372" i="46"/>
  <c r="BU372" i="46"/>
  <c r="BV372" i="46"/>
  <c r="BW372" i="46"/>
  <c r="BX372" i="46"/>
  <c r="BY372" i="46"/>
  <c r="BZ372" i="46"/>
  <c r="CA372" i="46"/>
  <c r="CB372" i="46"/>
  <c r="CC372" i="46"/>
  <c r="CD372" i="46"/>
  <c r="CE372" i="46"/>
  <c r="CF372" i="46"/>
  <c r="CG372" i="46"/>
  <c r="CH372" i="46"/>
  <c r="CI372" i="46"/>
  <c r="CJ372" i="46"/>
  <c r="CL372" i="46"/>
  <c r="CM372" i="46"/>
  <c r="CN372" i="46"/>
  <c r="CO372" i="46"/>
  <c r="BR372" i="46"/>
  <c r="CA322" i="50" l="1"/>
  <c r="CE322" i="50"/>
  <c r="CI322" i="50"/>
  <c r="CM322" i="50"/>
  <c r="BV353" i="50"/>
  <c r="CP353" i="50"/>
  <c r="BW353" i="50"/>
  <c r="CE353" i="50"/>
  <c r="CM353" i="50"/>
  <c r="CQ353" i="50"/>
  <c r="CL353" i="50"/>
  <c r="CI353" i="50"/>
  <c r="CH353" i="50"/>
  <c r="CD353" i="50"/>
  <c r="CA353" i="50"/>
  <c r="BZ353" i="50"/>
  <c r="CB322" i="50"/>
  <c r="CF322" i="50"/>
  <c r="CJ322" i="50"/>
  <c r="CN322" i="50"/>
  <c r="CR322" i="50"/>
  <c r="BZ322" i="50"/>
  <c r="CD322" i="50"/>
  <c r="CH322" i="50"/>
  <c r="CL322" i="50"/>
  <c r="CP322" i="50"/>
  <c r="BY353" i="50"/>
  <c r="CC353" i="50"/>
  <c r="CG353" i="50"/>
  <c r="CK353" i="50"/>
  <c r="CO353" i="50"/>
  <c r="CQ322" i="50"/>
  <c r="BR404" i="46"/>
  <c r="CO440" i="46" l="1"/>
  <c r="CN440" i="46"/>
  <c r="CM440" i="46"/>
  <c r="CL440" i="46"/>
  <c r="CK440" i="46"/>
  <c r="CJ440" i="46"/>
  <c r="CI440" i="46"/>
  <c r="CH440" i="46"/>
  <c r="CG440" i="46"/>
  <c r="CF440" i="46"/>
  <c r="CE440" i="46"/>
  <c r="CD440" i="46"/>
  <c r="CC440" i="46"/>
  <c r="CB440" i="46"/>
  <c r="CA440" i="46"/>
  <c r="BZ440" i="46"/>
  <c r="BY440" i="46"/>
  <c r="BX440" i="46"/>
  <c r="BW440" i="46"/>
  <c r="BV440" i="46"/>
  <c r="BU440" i="46"/>
  <c r="BT440" i="46"/>
  <c r="BS440" i="46"/>
  <c r="CO434" i="46"/>
  <c r="CN434" i="46"/>
  <c r="CM434" i="46"/>
  <c r="CL434" i="46"/>
  <c r="CK434" i="46"/>
  <c r="CJ434" i="46"/>
  <c r="CI434" i="46"/>
  <c r="CH434" i="46"/>
  <c r="CG434" i="46"/>
  <c r="CF434" i="46"/>
  <c r="CE434" i="46"/>
  <c r="CD434" i="46"/>
  <c r="CC434" i="46"/>
  <c r="CB434" i="46"/>
  <c r="CA434" i="46"/>
  <c r="BZ434" i="46"/>
  <c r="BY434" i="46"/>
  <c r="BX434" i="46"/>
  <c r="BW434" i="46"/>
  <c r="BV434" i="46"/>
  <c r="BU434" i="46"/>
  <c r="BT434" i="46"/>
  <c r="BS434" i="46"/>
  <c r="BR434" i="46"/>
  <c r="CO421" i="46"/>
  <c r="CN421" i="46"/>
  <c r="CM421" i="46"/>
  <c r="CL421" i="46"/>
  <c r="CK421" i="46"/>
  <c r="CJ421" i="46"/>
  <c r="CI421" i="46"/>
  <c r="CH421" i="46"/>
  <c r="CG421" i="46"/>
  <c r="CF421" i="46"/>
  <c r="CE421" i="46"/>
  <c r="CD421" i="46"/>
  <c r="CC421" i="46"/>
  <c r="CB421" i="46"/>
  <c r="CA421" i="46"/>
  <c r="BZ421" i="46"/>
  <c r="BY421" i="46"/>
  <c r="BX421" i="46"/>
  <c r="BW421" i="46"/>
  <c r="BV421" i="46"/>
  <c r="BU421" i="46"/>
  <c r="BT421" i="46"/>
  <c r="BS421" i="46"/>
  <c r="CO407" i="46"/>
  <c r="CN407" i="46"/>
  <c r="CM407" i="46"/>
  <c r="CL407" i="46"/>
  <c r="CK407" i="46"/>
  <c r="CJ407" i="46"/>
  <c r="CI407" i="46"/>
  <c r="CH407" i="46"/>
  <c r="CG407" i="46"/>
  <c r="CF407" i="46"/>
  <c r="CE407" i="46"/>
  <c r="CD407" i="46"/>
  <c r="CC407" i="46"/>
  <c r="CB407" i="46"/>
  <c r="CA407" i="46"/>
  <c r="BZ407" i="46"/>
  <c r="BY407" i="46"/>
  <c r="BX407" i="46"/>
  <c r="BW407" i="46"/>
  <c r="BV407" i="46"/>
  <c r="BU407" i="46"/>
  <c r="BT407" i="46"/>
  <c r="BS407" i="46"/>
  <c r="BR407" i="46"/>
  <c r="CO406" i="46"/>
  <c r="CN406" i="46"/>
  <c r="CM406" i="46"/>
  <c r="CL406" i="46"/>
  <c r="CK406" i="46"/>
  <c r="CJ406" i="46"/>
  <c r="CI406" i="46"/>
  <c r="CH406" i="46"/>
  <c r="CG406" i="46"/>
  <c r="CF406" i="46"/>
  <c r="CE406" i="46"/>
  <c r="CD406" i="46"/>
  <c r="CC406" i="46"/>
  <c r="CB406" i="46"/>
  <c r="CA406" i="46"/>
  <c r="BZ406" i="46"/>
  <c r="BY406" i="46"/>
  <c r="BX406" i="46"/>
  <c r="BW406" i="46"/>
  <c r="BV406" i="46"/>
  <c r="BU406" i="46"/>
  <c r="BT406" i="46"/>
  <c r="BS406" i="46"/>
  <c r="BR406" i="46"/>
  <c r="CO388" i="46"/>
  <c r="CO387" i="46" s="1"/>
  <c r="CN388" i="46"/>
  <c r="CN387" i="46" s="1"/>
  <c r="CM388" i="46"/>
  <c r="CM387" i="46" s="1"/>
  <c r="CL388" i="46"/>
  <c r="CL387" i="46" s="1"/>
  <c r="CK388" i="46"/>
  <c r="CK387" i="46" s="1"/>
  <c r="CJ388" i="46"/>
  <c r="CJ387" i="46" s="1"/>
  <c r="CI388" i="46"/>
  <c r="CI387" i="46" s="1"/>
  <c r="CH388" i="46"/>
  <c r="CH387" i="46" s="1"/>
  <c r="CG388" i="46"/>
  <c r="CG387" i="46" s="1"/>
  <c r="CF388" i="46"/>
  <c r="CF387" i="46" s="1"/>
  <c r="CE388" i="46"/>
  <c r="CE387" i="46" s="1"/>
  <c r="CD388" i="46"/>
  <c r="CD387" i="46" s="1"/>
  <c r="CC388" i="46"/>
  <c r="CC387" i="46" s="1"/>
  <c r="CB388" i="46"/>
  <c r="CB387" i="46" s="1"/>
  <c r="CA388" i="46"/>
  <c r="CA387" i="46" s="1"/>
  <c r="BZ388" i="46"/>
  <c r="BZ387" i="46" s="1"/>
  <c r="BY388" i="46"/>
  <c r="BY387" i="46" s="1"/>
  <c r="BX388" i="46"/>
  <c r="BX387" i="46" s="1"/>
  <c r="BW388" i="46"/>
  <c r="BW387" i="46" s="1"/>
  <c r="BV388" i="46"/>
  <c r="BV387" i="46" s="1"/>
  <c r="BU388" i="46"/>
  <c r="BU387" i="46" s="1"/>
  <c r="BT388" i="46"/>
  <c r="BT387" i="46" s="1"/>
  <c r="BS388" i="46"/>
  <c r="BS387" i="46" s="1"/>
  <c r="BS364" i="46"/>
  <c r="BT364" i="46"/>
  <c r="BU364" i="46"/>
  <c r="BV364" i="46"/>
  <c r="BW364" i="46"/>
  <c r="BX364" i="46"/>
  <c r="BY364" i="46"/>
  <c r="BZ364" i="46"/>
  <c r="CA364" i="46"/>
  <c r="CB364" i="46"/>
  <c r="CC364" i="46"/>
  <c r="CD364" i="46"/>
  <c r="CE364" i="46"/>
  <c r="CF364" i="46"/>
  <c r="CG364" i="46"/>
  <c r="CH364" i="46"/>
  <c r="CI364" i="46"/>
  <c r="CJ364" i="46"/>
  <c r="CK364" i="46"/>
  <c r="CL364" i="46"/>
  <c r="CM364" i="46"/>
  <c r="CN364" i="46"/>
  <c r="CO364" i="46"/>
  <c r="BR364" i="46"/>
  <c r="BS307" i="46"/>
  <c r="BS306" i="46" s="1"/>
  <c r="BT307" i="46"/>
  <c r="BT306" i="46" s="1"/>
  <c r="BU307" i="46"/>
  <c r="BU306" i="46" s="1"/>
  <c r="BV307" i="46"/>
  <c r="BV306" i="46" s="1"/>
  <c r="BW307" i="46"/>
  <c r="BW306" i="46" s="1"/>
  <c r="BX307" i="46"/>
  <c r="BX306" i="46" s="1"/>
  <c r="BY307" i="46"/>
  <c r="BY306" i="46" s="1"/>
  <c r="BZ307" i="46"/>
  <c r="BZ306" i="46" s="1"/>
  <c r="CA307" i="46"/>
  <c r="CA306" i="46" s="1"/>
  <c r="CB307" i="46"/>
  <c r="CB306" i="46" s="1"/>
  <c r="CC307" i="46"/>
  <c r="CC306" i="46" s="1"/>
  <c r="CD307" i="46"/>
  <c r="CD306" i="46" s="1"/>
  <c r="CE307" i="46"/>
  <c r="CE306" i="46" s="1"/>
  <c r="CF307" i="46"/>
  <c r="CF306" i="46" s="1"/>
  <c r="CG307" i="46"/>
  <c r="CG306" i="46" s="1"/>
  <c r="CH307" i="46"/>
  <c r="CH306" i="46" s="1"/>
  <c r="CI307" i="46"/>
  <c r="CI306" i="46" s="1"/>
  <c r="CJ307" i="46"/>
  <c r="CJ306" i="46" s="1"/>
  <c r="CK307" i="46"/>
  <c r="CK306" i="46" s="1"/>
  <c r="CL307" i="46"/>
  <c r="CL306" i="46" s="1"/>
  <c r="CM307" i="46"/>
  <c r="CM306" i="46" s="1"/>
  <c r="CN307" i="46"/>
  <c r="CN306" i="46" s="1"/>
  <c r="CO307" i="46"/>
  <c r="CO306" i="46" s="1"/>
  <c r="BR307" i="46"/>
  <c r="BR306" i="46" s="1"/>
  <c r="CN358" i="46"/>
  <c r="CM358" i="46"/>
  <c r="CL358" i="46"/>
  <c r="CK358" i="46"/>
  <c r="CJ358" i="46"/>
  <c r="CI358" i="46"/>
  <c r="CH358" i="46"/>
  <c r="CG358" i="46"/>
  <c r="CF358" i="46"/>
  <c r="CE358" i="46"/>
  <c r="CD358" i="46"/>
  <c r="CC358" i="46"/>
  <c r="CB358" i="46"/>
  <c r="CA358" i="46"/>
  <c r="BZ358" i="46"/>
  <c r="BY358" i="46"/>
  <c r="BX358" i="46"/>
  <c r="BW358" i="46"/>
  <c r="BV358" i="46"/>
  <c r="BU358" i="46"/>
  <c r="BT358" i="46"/>
  <c r="BS358" i="46"/>
  <c r="CO345" i="46"/>
  <c r="CN345" i="46"/>
  <c r="CM345" i="46"/>
  <c r="CL345" i="46"/>
  <c r="CK345" i="46"/>
  <c r="CJ345" i="46"/>
  <c r="CI345" i="46"/>
  <c r="CH345" i="46"/>
  <c r="CG345" i="46"/>
  <c r="CF345" i="46"/>
  <c r="CE345" i="46"/>
  <c r="CD345" i="46"/>
  <c r="CC345" i="46"/>
  <c r="CB345" i="46"/>
  <c r="CA345" i="46"/>
  <c r="BZ345" i="46"/>
  <c r="BY345" i="46"/>
  <c r="BX345" i="46"/>
  <c r="BW345" i="46"/>
  <c r="BV345" i="46"/>
  <c r="BU345" i="46"/>
  <c r="BT345" i="46"/>
  <c r="BS345" i="46"/>
  <c r="BR345" i="46"/>
  <c r="CO324" i="46"/>
  <c r="CN324" i="46"/>
  <c r="CM324" i="46"/>
  <c r="CL324" i="46"/>
  <c r="CK324" i="46"/>
  <c r="CJ324" i="46"/>
  <c r="CI324" i="46"/>
  <c r="CH324" i="46"/>
  <c r="CG324" i="46"/>
  <c r="CF324" i="46"/>
  <c r="CE324" i="46"/>
  <c r="CD324" i="46"/>
  <c r="CC324" i="46"/>
  <c r="CB324" i="46"/>
  <c r="CA324" i="46"/>
  <c r="BZ324" i="46"/>
  <c r="BY324" i="46"/>
  <c r="BX324" i="46"/>
  <c r="BW324" i="46"/>
  <c r="BV324" i="46"/>
  <c r="BU324" i="46"/>
  <c r="BT324" i="46"/>
  <c r="BS324" i="46"/>
  <c r="BR324" i="46"/>
  <c r="CO292" i="46"/>
  <c r="CN292" i="46"/>
  <c r="CM292" i="46"/>
  <c r="CL292" i="46"/>
  <c r="CK292" i="46"/>
  <c r="CJ292" i="46"/>
  <c r="CI292" i="46"/>
  <c r="CH292" i="46"/>
  <c r="CG292" i="46"/>
  <c r="CF292" i="46"/>
  <c r="CE292" i="46"/>
  <c r="CD292" i="46"/>
  <c r="CC292" i="46"/>
  <c r="CB292" i="46"/>
  <c r="CA292" i="46"/>
  <c r="BZ292" i="46"/>
  <c r="BY292" i="46"/>
  <c r="BX292" i="46"/>
  <c r="BW292" i="46"/>
  <c r="BV292" i="46"/>
  <c r="BU292" i="46"/>
  <c r="BT292" i="46"/>
  <c r="BS292" i="46"/>
  <c r="BR292" i="46"/>
  <c r="BS404" i="46" l="1"/>
  <c r="BT404" i="46"/>
  <c r="BU404" i="46"/>
  <c r="BV404" i="46"/>
  <c r="BW404" i="46"/>
  <c r="BX404" i="46"/>
  <c r="BY404" i="46"/>
  <c r="BZ404" i="46"/>
  <c r="CA404" i="46"/>
  <c r="CB404" i="46"/>
  <c r="CC404" i="46"/>
  <c r="CD404" i="46"/>
  <c r="CE404" i="46"/>
  <c r="CF404" i="46"/>
  <c r="CG404" i="46"/>
  <c r="CH404" i="46"/>
  <c r="CI404" i="46"/>
  <c r="CJ404" i="46"/>
  <c r="CK404" i="46"/>
  <c r="CL404" i="46"/>
  <c r="CM404" i="46"/>
  <c r="CN404" i="46"/>
  <c r="CO404" i="46"/>
  <c r="BS432" i="46"/>
  <c r="BS442" i="46" s="1"/>
  <c r="BT432" i="46"/>
  <c r="BT442" i="46" s="1"/>
  <c r="BU432" i="46"/>
  <c r="BU442" i="46" s="1"/>
  <c r="BV432" i="46"/>
  <c r="BW432" i="46"/>
  <c r="BW442" i="46" s="1"/>
  <c r="BX432" i="46"/>
  <c r="BX442" i="46" s="1"/>
  <c r="BY432" i="46"/>
  <c r="BY442" i="46" s="1"/>
  <c r="BZ432" i="46"/>
  <c r="BZ442" i="46" s="1"/>
  <c r="CA432" i="46"/>
  <c r="CA442" i="46" s="1"/>
  <c r="CB432" i="46"/>
  <c r="CB442" i="46" s="1"/>
  <c r="CC432" i="46"/>
  <c r="CC442" i="46" s="1"/>
  <c r="CD432" i="46"/>
  <c r="CD442" i="46" s="1"/>
  <c r="CE432" i="46"/>
  <c r="CE442" i="46" s="1"/>
  <c r="CF432" i="46"/>
  <c r="CF442" i="46" s="1"/>
  <c r="CG432" i="46"/>
  <c r="CG442" i="46" s="1"/>
  <c r="CH432" i="46"/>
  <c r="CH442" i="46" s="1"/>
  <c r="CI432" i="46"/>
  <c r="CI442" i="46" s="1"/>
  <c r="CJ432" i="46"/>
  <c r="CJ442" i="46" s="1"/>
  <c r="CK432" i="46"/>
  <c r="CK442" i="46" s="1"/>
  <c r="CL432" i="46"/>
  <c r="CL442" i="46" s="1"/>
  <c r="CM432" i="46"/>
  <c r="CM442" i="46" s="1"/>
  <c r="CN432" i="46"/>
  <c r="CN442" i="46" s="1"/>
  <c r="CO432" i="46"/>
  <c r="CO442" i="46" s="1"/>
  <c r="BV442" i="46"/>
  <c r="BR321" i="46"/>
  <c r="BS321" i="46"/>
  <c r="BT321" i="46"/>
  <c r="BU321" i="46"/>
  <c r="BV321" i="46"/>
  <c r="BW321" i="46"/>
  <c r="BX321" i="46"/>
  <c r="BY321" i="46"/>
  <c r="BZ321" i="46"/>
  <c r="CA321" i="46"/>
  <c r="CB321" i="46"/>
  <c r="CC321" i="46"/>
  <c r="CD321" i="46"/>
  <c r="CE321" i="46"/>
  <c r="CF321" i="46"/>
  <c r="CG321" i="46"/>
  <c r="CH321" i="46"/>
  <c r="CI321" i="46"/>
  <c r="CJ321" i="46"/>
  <c r="CK321" i="46"/>
  <c r="CL321" i="46"/>
  <c r="CM321" i="46"/>
  <c r="CN321" i="46"/>
  <c r="CO321" i="46"/>
  <c r="BR356" i="46"/>
  <c r="BR366" i="46" s="1"/>
  <c r="BS356" i="46"/>
  <c r="BS366" i="46" s="1"/>
  <c r="BT356" i="46"/>
  <c r="BT366" i="46" s="1"/>
  <c r="BU356" i="46"/>
  <c r="BU366" i="46" s="1"/>
  <c r="BV356" i="46"/>
  <c r="BV366" i="46" s="1"/>
  <c r="BW356" i="46"/>
  <c r="BX356" i="46"/>
  <c r="BX366" i="46" s="1"/>
  <c r="BY356" i="46"/>
  <c r="BY366" i="46" s="1"/>
  <c r="BZ356" i="46"/>
  <c r="BZ366" i="46" s="1"/>
  <c r="CA356" i="46"/>
  <c r="CB356" i="46"/>
  <c r="CB366" i="46" s="1"/>
  <c r="CC356" i="46"/>
  <c r="CC366" i="46" s="1"/>
  <c r="CD356" i="46"/>
  <c r="CD366" i="46" s="1"/>
  <c r="CE356" i="46"/>
  <c r="CE366" i="46" s="1"/>
  <c r="CF356" i="46"/>
  <c r="CF366" i="46" s="1"/>
  <c r="CG356" i="46"/>
  <c r="CG366" i="46" s="1"/>
  <c r="CH356" i="46"/>
  <c r="CH366" i="46" s="1"/>
  <c r="CI356" i="46"/>
  <c r="CI366" i="46" s="1"/>
  <c r="CJ356" i="46"/>
  <c r="CJ366" i="46" s="1"/>
  <c r="CK356" i="46"/>
  <c r="CK366" i="46" s="1"/>
  <c r="CL356" i="46"/>
  <c r="CL366" i="46" s="1"/>
  <c r="CM356" i="46"/>
  <c r="CM366" i="46" s="1"/>
  <c r="CN356" i="46"/>
  <c r="CN366" i="46" s="1"/>
  <c r="CO356" i="46"/>
  <c r="CO366" i="46" s="1"/>
  <c r="BW366" i="46"/>
  <c r="CA366" i="46"/>
  <c r="BZ406" i="43" l="1"/>
  <c r="BZ386" i="43" s="1"/>
  <c r="BZ414" i="43" s="1"/>
  <c r="CA406" i="43"/>
  <c r="CA386" i="43" s="1"/>
  <c r="CA414" i="43" s="1"/>
  <c r="CB406" i="43"/>
  <c r="CB386" i="43" s="1"/>
  <c r="CB414" i="43" s="1"/>
  <c r="CC406" i="43"/>
  <c r="CC386" i="43" s="1"/>
  <c r="CC414" i="43" s="1"/>
  <c r="CD406" i="43"/>
  <c r="CD386" i="43" s="1"/>
  <c r="CD414" i="43" s="1"/>
  <c r="CE406" i="43"/>
  <c r="CE386" i="43" s="1"/>
  <c r="CE414" i="43" s="1"/>
  <c r="CF406" i="43"/>
  <c r="CF386" i="43" s="1"/>
  <c r="CF414" i="43" s="1"/>
  <c r="CG406" i="43"/>
  <c r="CG386" i="43" s="1"/>
  <c r="CG414" i="43" s="1"/>
  <c r="CH406" i="43"/>
  <c r="CH386" i="43" s="1"/>
  <c r="CH414" i="43" s="1"/>
  <c r="CI406" i="43"/>
  <c r="CI386" i="43" s="1"/>
  <c r="CI414" i="43" s="1"/>
  <c r="CJ406" i="43"/>
  <c r="CJ386" i="43" s="1"/>
  <c r="CK406" i="43"/>
  <c r="CK386" i="43" s="1"/>
  <c r="CK414" i="43" s="1"/>
  <c r="CL406" i="43"/>
  <c r="CL386" i="43" s="1"/>
  <c r="CL414" i="43" s="1"/>
  <c r="CM406" i="43"/>
  <c r="CM386" i="43" s="1"/>
  <c r="CM414" i="43" s="1"/>
  <c r="CN406" i="43"/>
  <c r="CN386" i="43" s="1"/>
  <c r="CN414" i="43" s="1"/>
  <c r="CO406" i="43"/>
  <c r="CO386" i="43" s="1"/>
  <c r="CO414" i="43" s="1"/>
  <c r="CP406" i="43"/>
  <c r="CP386" i="43" s="1"/>
  <c r="CP414" i="43" s="1"/>
  <c r="CQ406" i="43"/>
  <c r="CQ386" i="43" s="1"/>
  <c r="CQ414" i="43" s="1"/>
  <c r="CR406" i="43"/>
  <c r="CR386" i="43" s="1"/>
  <c r="CR414" i="43" s="1"/>
  <c r="CS406" i="43"/>
  <c r="CS386" i="43" s="1"/>
  <c r="CS414" i="43" s="1"/>
  <c r="CT406" i="43"/>
  <c r="CT386" i="43" s="1"/>
  <c r="CT414" i="43" s="1"/>
  <c r="CU406" i="43"/>
  <c r="CU386" i="43" s="1"/>
  <c r="CU414" i="43" s="1"/>
  <c r="CV406" i="43"/>
  <c r="CV386" i="43" s="1"/>
  <c r="CV414" i="43" s="1"/>
  <c r="BY406" i="43"/>
  <c r="BY386" i="43" s="1"/>
  <c r="BY414" i="43" s="1"/>
  <c r="CV419" i="43"/>
  <c r="CU419" i="43"/>
  <c r="CT419" i="43"/>
  <c r="CS419" i="43"/>
  <c r="CR419" i="43"/>
  <c r="CQ419" i="43"/>
  <c r="CP419" i="43"/>
  <c r="CO419" i="43"/>
  <c r="CN419" i="43"/>
  <c r="CM419" i="43"/>
  <c r="CL419" i="43"/>
  <c r="CK419" i="43"/>
  <c r="CJ419" i="43"/>
  <c r="CI419" i="43"/>
  <c r="CH419" i="43"/>
  <c r="CG419" i="43"/>
  <c r="CF419" i="43"/>
  <c r="CE419" i="43"/>
  <c r="CD419" i="43"/>
  <c r="CC419" i="43"/>
  <c r="CB419" i="43"/>
  <c r="CA419" i="43"/>
  <c r="BZ419" i="43"/>
  <c r="BY419" i="43"/>
  <c r="CV415" i="43"/>
  <c r="CU415" i="43"/>
  <c r="CT415" i="43"/>
  <c r="CS415" i="43"/>
  <c r="CR415" i="43"/>
  <c r="CQ415" i="43"/>
  <c r="CP415" i="43"/>
  <c r="CO415" i="43"/>
  <c r="CN415" i="43"/>
  <c r="CM415" i="43"/>
  <c r="CL415" i="43"/>
  <c r="CK415" i="43"/>
  <c r="CJ415" i="43"/>
  <c r="CI415" i="43"/>
  <c r="CH415" i="43"/>
  <c r="CG415" i="43"/>
  <c r="CF415" i="43"/>
  <c r="CE415" i="43"/>
  <c r="CD415" i="43"/>
  <c r="CC415" i="43"/>
  <c r="CB415" i="43"/>
  <c r="CA415" i="43"/>
  <c r="BZ415" i="43"/>
  <c r="BY415" i="43"/>
  <c r="CJ414" i="43"/>
  <c r="BY418" i="43" l="1"/>
  <c r="BY422" i="43" s="1"/>
  <c r="BZ418" i="43"/>
  <c r="BZ422" i="43" s="1"/>
  <c r="CA418" i="43"/>
  <c r="CA422" i="43" s="1"/>
  <c r="CB418" i="43"/>
  <c r="CB422" i="43" s="1"/>
  <c r="CC418" i="43"/>
  <c r="CC422" i="43" s="1"/>
  <c r="CD418" i="43"/>
  <c r="CD422" i="43" s="1"/>
  <c r="CE418" i="43"/>
  <c r="CE422" i="43" s="1"/>
  <c r="CF418" i="43"/>
  <c r="CF422" i="43" s="1"/>
  <c r="CG418" i="43"/>
  <c r="CG422" i="43" s="1"/>
  <c r="CH418" i="43"/>
  <c r="CH422" i="43" s="1"/>
  <c r="CI418" i="43"/>
  <c r="CI422" i="43" s="1"/>
  <c r="CJ418" i="43"/>
  <c r="CJ422" i="43" s="1"/>
  <c r="CK418" i="43"/>
  <c r="CK422" i="43" s="1"/>
  <c r="CL418" i="43"/>
  <c r="CL422" i="43" s="1"/>
  <c r="CM418" i="43"/>
  <c r="CM422" i="43" s="1"/>
  <c r="CN418" i="43"/>
  <c r="CN422" i="43" s="1"/>
  <c r="CO418" i="43"/>
  <c r="CO422" i="43" s="1"/>
  <c r="CP418" i="43"/>
  <c r="CP422" i="43" s="1"/>
  <c r="CQ418" i="43"/>
  <c r="CQ422" i="43" s="1"/>
  <c r="CR418" i="43"/>
  <c r="CR422" i="43" s="1"/>
  <c r="CS418" i="43"/>
  <c r="CS422" i="43" s="1"/>
  <c r="CT418" i="43"/>
  <c r="CT422" i="43" s="1"/>
  <c r="CU418" i="43"/>
  <c r="CU422" i="43" s="1"/>
  <c r="CV418" i="43"/>
  <c r="CV422" i="43" s="1"/>
  <c r="BZ362" i="43" l="1"/>
  <c r="BY362" i="43"/>
  <c r="BZ358" i="43"/>
  <c r="BY358" i="43"/>
  <c r="CV313" i="43"/>
  <c r="CV309" i="43"/>
  <c r="CM298" i="43"/>
  <c r="CM278" i="43" s="1"/>
  <c r="BY313" i="43" l="1"/>
  <c r="CV362" i="43" l="1"/>
  <c r="CU362" i="43"/>
  <c r="CT362" i="43"/>
  <c r="CS362" i="43"/>
  <c r="CR362" i="43"/>
  <c r="CQ362" i="43"/>
  <c r="CP362" i="43"/>
  <c r="CO362" i="43"/>
  <c r="CN362" i="43"/>
  <c r="CM362" i="43"/>
  <c r="CL362" i="43"/>
  <c r="CK362" i="43"/>
  <c r="CJ362" i="43"/>
  <c r="CI362" i="43"/>
  <c r="CH362" i="43"/>
  <c r="CG362" i="43"/>
  <c r="CF362" i="43"/>
  <c r="CE362" i="43"/>
  <c r="CD362" i="43"/>
  <c r="CC362" i="43"/>
  <c r="CB362" i="43"/>
  <c r="CA362" i="43"/>
  <c r="CV358" i="43"/>
  <c r="CU358" i="43"/>
  <c r="CT358" i="43"/>
  <c r="CS358" i="43"/>
  <c r="CR358" i="43"/>
  <c r="CQ358" i="43"/>
  <c r="CP358" i="43"/>
  <c r="CO358" i="43"/>
  <c r="CN358" i="43"/>
  <c r="CM358" i="43"/>
  <c r="CL358" i="43"/>
  <c r="CK358" i="43"/>
  <c r="CJ358" i="43"/>
  <c r="CI358" i="43"/>
  <c r="CH358" i="43"/>
  <c r="CG358" i="43"/>
  <c r="CF358" i="43"/>
  <c r="CE358" i="43"/>
  <c r="CD358" i="43"/>
  <c r="CC358" i="43"/>
  <c r="CB358" i="43"/>
  <c r="CV340" i="43"/>
  <c r="CU340" i="43"/>
  <c r="CT340" i="43"/>
  <c r="CS340" i="43"/>
  <c r="CR340" i="43"/>
  <c r="CQ340" i="43"/>
  <c r="CP340" i="43"/>
  <c r="CO340" i="43"/>
  <c r="CN340" i="43"/>
  <c r="CM340" i="43"/>
  <c r="CL340" i="43"/>
  <c r="CK340" i="43"/>
  <c r="CJ340" i="43"/>
  <c r="CI340" i="43"/>
  <c r="CH340" i="43"/>
  <c r="CG340" i="43"/>
  <c r="CF340" i="43"/>
  <c r="CE340" i="43"/>
  <c r="CD340" i="43"/>
  <c r="CC340" i="43"/>
  <c r="CB340" i="43"/>
  <c r="CA340" i="43"/>
  <c r="BZ340" i="43"/>
  <c r="BY340" i="43"/>
  <c r="CV329" i="43"/>
  <c r="CU329" i="43"/>
  <c r="CT329" i="43"/>
  <c r="CS329" i="43"/>
  <c r="CR329" i="43"/>
  <c r="CQ329" i="43"/>
  <c r="CP329" i="43"/>
  <c r="CO329" i="43"/>
  <c r="CN329" i="43"/>
  <c r="CM329" i="43"/>
  <c r="CL329" i="43"/>
  <c r="CK329" i="43"/>
  <c r="CJ329" i="43"/>
  <c r="CI329" i="43"/>
  <c r="CH329" i="43"/>
  <c r="CG329" i="43"/>
  <c r="CF329" i="43"/>
  <c r="CE329" i="43"/>
  <c r="CD329" i="43"/>
  <c r="CC329" i="43"/>
  <c r="CB329" i="43"/>
  <c r="CA329" i="43"/>
  <c r="BZ329" i="43"/>
  <c r="BY329" i="43"/>
  <c r="BY357" i="43" s="1"/>
  <c r="BY361" i="43" s="1"/>
  <c r="BY365" i="43" s="1"/>
  <c r="BZ357" i="43" l="1"/>
  <c r="BZ361" i="43" s="1"/>
  <c r="BZ365" i="43" s="1"/>
  <c r="CA357" i="43"/>
  <c r="CA361" i="43" s="1"/>
  <c r="CA365" i="43" s="1"/>
  <c r="CB357" i="43"/>
  <c r="CB361" i="43" s="1"/>
  <c r="CB365" i="43" s="1"/>
  <c r="CC357" i="43"/>
  <c r="CC361" i="43" s="1"/>
  <c r="CC365" i="43" s="1"/>
  <c r="CD357" i="43"/>
  <c r="CD361" i="43" s="1"/>
  <c r="CD365" i="43" s="1"/>
  <c r="CE357" i="43"/>
  <c r="CE361" i="43" s="1"/>
  <c r="CE365" i="43" s="1"/>
  <c r="CF357" i="43"/>
  <c r="CF361" i="43" s="1"/>
  <c r="CF365" i="43" s="1"/>
  <c r="CG357" i="43"/>
  <c r="CG361" i="43" s="1"/>
  <c r="CG365" i="43" s="1"/>
  <c r="CH357" i="43"/>
  <c r="CH361" i="43" s="1"/>
  <c r="CH365" i="43" s="1"/>
  <c r="CI357" i="43"/>
  <c r="CI361" i="43" s="1"/>
  <c r="CI365" i="43" s="1"/>
  <c r="CJ357" i="43"/>
  <c r="CJ361" i="43" s="1"/>
  <c r="CJ365" i="43" s="1"/>
  <c r="CK357" i="43"/>
  <c r="CK361" i="43" s="1"/>
  <c r="CK365" i="43" s="1"/>
  <c r="CL357" i="43"/>
  <c r="CL361" i="43" s="1"/>
  <c r="CL365" i="43" s="1"/>
  <c r="CM357" i="43"/>
  <c r="CM361" i="43" s="1"/>
  <c r="CM365" i="43" s="1"/>
  <c r="CN357" i="43"/>
  <c r="CN361" i="43" s="1"/>
  <c r="CN365" i="43" s="1"/>
  <c r="CO357" i="43"/>
  <c r="CO361" i="43" s="1"/>
  <c r="CO365" i="43" s="1"/>
  <c r="CP357" i="43"/>
  <c r="CP361" i="43" s="1"/>
  <c r="CP365" i="43" s="1"/>
  <c r="CQ357" i="43"/>
  <c r="CQ361" i="43" s="1"/>
  <c r="CQ365" i="43" s="1"/>
  <c r="CR357" i="43"/>
  <c r="CR361" i="43" s="1"/>
  <c r="CR365" i="43" s="1"/>
  <c r="CS357" i="43"/>
  <c r="CS361" i="43" s="1"/>
  <c r="CS365" i="43" s="1"/>
  <c r="CT357" i="43"/>
  <c r="CT361" i="43" s="1"/>
  <c r="CT365" i="43" s="1"/>
  <c r="CU357" i="43"/>
  <c r="CU361" i="43" s="1"/>
  <c r="CU365" i="43" s="1"/>
  <c r="CV357" i="43"/>
  <c r="CV361" i="43" s="1"/>
  <c r="CV365" i="43" s="1"/>
  <c r="BN318" i="49"/>
  <c r="BN262" i="49"/>
  <c r="BN350" i="49"/>
  <c r="BN357" i="49"/>
  <c r="BN356" i="49"/>
  <c r="BN348" i="49"/>
  <c r="BN349" i="49"/>
  <c r="BN347" i="49"/>
  <c r="BN328" i="49"/>
  <c r="BN329" i="49"/>
  <c r="BN330" i="49"/>
  <c r="BN331" i="49"/>
  <c r="BN332" i="49"/>
  <c r="BN333" i="49"/>
  <c r="BN334" i="49"/>
  <c r="BN335" i="49"/>
  <c r="BN336" i="49"/>
  <c r="BN337" i="49"/>
  <c r="BN338" i="49"/>
  <c r="BN339" i="49"/>
  <c r="BN340" i="49"/>
  <c r="BN327" i="49"/>
  <c r="BN319" i="49"/>
  <c r="BN320" i="49"/>
  <c r="BN321" i="49"/>
  <c r="BN322" i="49"/>
  <c r="BN317" i="49"/>
  <c r="BN306" i="49"/>
  <c r="BN307" i="49"/>
  <c r="BN308" i="49"/>
  <c r="BN309" i="49"/>
  <c r="BN310" i="49"/>
  <c r="BN311" i="49"/>
  <c r="BN312" i="49"/>
  <c r="BN313" i="49"/>
  <c r="BN305" i="49"/>
  <c r="BN296" i="49"/>
  <c r="BN297" i="49"/>
  <c r="BN298" i="49"/>
  <c r="BN299" i="49"/>
  <c r="BN300" i="49"/>
  <c r="BN301" i="49"/>
  <c r="BN302" i="49"/>
  <c r="BN295" i="49"/>
  <c r="BN259" i="49"/>
  <c r="BN292" i="49"/>
  <c r="BN263" i="49"/>
  <c r="BN264" i="49"/>
  <c r="BN265" i="49"/>
  <c r="BN266" i="49"/>
  <c r="BN267" i="49"/>
  <c r="BN268" i="49"/>
  <c r="BN269" i="49"/>
  <c r="BN270" i="49"/>
  <c r="BN271" i="49"/>
  <c r="BN272" i="49"/>
  <c r="BN273" i="49"/>
  <c r="BN274" i="49"/>
  <c r="BN275" i="49"/>
  <c r="BN276" i="49"/>
  <c r="BN277" i="49"/>
  <c r="BN278" i="49"/>
  <c r="BN279" i="49"/>
  <c r="BN280" i="49"/>
  <c r="BN281" i="49"/>
  <c r="BN282" i="49"/>
  <c r="BN283" i="49"/>
  <c r="BN284" i="49"/>
  <c r="BN285" i="49"/>
  <c r="BN286" i="49"/>
  <c r="BN287" i="49"/>
  <c r="BN288" i="49"/>
  <c r="BN289" i="49"/>
  <c r="BN290" i="49"/>
  <c r="BN291" i="49"/>
  <c r="D9" i="49" l="1"/>
  <c r="C9" i="49"/>
  <c r="BV267" i="50"/>
  <c r="BW267" i="50"/>
  <c r="BX267" i="50"/>
  <c r="BY267" i="50"/>
  <c r="BZ267" i="50"/>
  <c r="CA267" i="50"/>
  <c r="CB267" i="50"/>
  <c r="CC267" i="50"/>
  <c r="CD267" i="50"/>
  <c r="CE267" i="50"/>
  <c r="CF267" i="50"/>
  <c r="CG267" i="50"/>
  <c r="CH267" i="50"/>
  <c r="CI267" i="50"/>
  <c r="CJ267" i="50"/>
  <c r="CK267" i="50"/>
  <c r="CL267" i="50"/>
  <c r="CM267" i="50"/>
  <c r="CN267" i="50"/>
  <c r="CO267" i="50"/>
  <c r="CP267" i="50"/>
  <c r="CQ267" i="50"/>
  <c r="CR267" i="50"/>
  <c r="BU267" i="50"/>
  <c r="BV252" i="50"/>
  <c r="BV286" i="50" s="1"/>
  <c r="BW252" i="50"/>
  <c r="BW286" i="50" s="1"/>
  <c r="BX252" i="50"/>
  <c r="BX286" i="50" s="1"/>
  <c r="BY252" i="50"/>
  <c r="BY286" i="50" s="1"/>
  <c r="BZ252" i="50"/>
  <c r="BZ286" i="50" s="1"/>
  <c r="CA252" i="50"/>
  <c r="CA286" i="50" s="1"/>
  <c r="CB252" i="50"/>
  <c r="CB286" i="50" s="1"/>
  <c r="CC252" i="50"/>
  <c r="CC286" i="50" s="1"/>
  <c r="CD252" i="50"/>
  <c r="CD286" i="50" s="1"/>
  <c r="CE252" i="50"/>
  <c r="CE286" i="50" s="1"/>
  <c r="CF252" i="50"/>
  <c r="CF286" i="50" s="1"/>
  <c r="CG252" i="50"/>
  <c r="CG286" i="50" s="1"/>
  <c r="CH252" i="50"/>
  <c r="CH286" i="50" s="1"/>
  <c r="CI252" i="50"/>
  <c r="CI286" i="50" s="1"/>
  <c r="CJ252" i="50"/>
  <c r="CJ286" i="50" s="1"/>
  <c r="CK252" i="50"/>
  <c r="CK286" i="50" s="1"/>
  <c r="CL252" i="50"/>
  <c r="CL286" i="50" s="1"/>
  <c r="CM252" i="50"/>
  <c r="CM286" i="50" s="1"/>
  <c r="CN252" i="50"/>
  <c r="CN286" i="50" s="1"/>
  <c r="CO252" i="50"/>
  <c r="CO286" i="50" s="1"/>
  <c r="CP252" i="50"/>
  <c r="CP286" i="50" s="1"/>
  <c r="CQ252" i="50"/>
  <c r="CQ286" i="50" s="1"/>
  <c r="CR252" i="50"/>
  <c r="CR286" i="50" s="1"/>
  <c r="BU252" i="50"/>
  <c r="BU286" i="50" s="1"/>
  <c r="BN286" i="50"/>
  <c r="BN267" i="50"/>
  <c r="BN252" i="50"/>
  <c r="C2030" i="50" l="1"/>
  <c r="C2031" i="50"/>
  <c r="E2031" i="50" s="1"/>
  <c r="D2031" i="50"/>
  <c r="D2030" i="50"/>
  <c r="C1035" i="50"/>
  <c r="C1036" i="50"/>
  <c r="D1035" i="50"/>
  <c r="D1036" i="50"/>
  <c r="C1034" i="50"/>
  <c r="C11" i="50"/>
  <c r="D36" i="50"/>
  <c r="C36" i="50"/>
  <c r="D16" i="50"/>
  <c r="C13" i="50"/>
  <c r="C33" i="50"/>
  <c r="D1033" i="50"/>
  <c r="D2013" i="50"/>
  <c r="C2013" i="50"/>
  <c r="D2023" i="50"/>
  <c r="C2023" i="50"/>
  <c r="D2025" i="50"/>
  <c r="C2025" i="50"/>
  <c r="D2028" i="50"/>
  <c r="C2028" i="50"/>
  <c r="D2027" i="50"/>
  <c r="C2027" i="50"/>
  <c r="D2026" i="50"/>
  <c r="C2026" i="50"/>
  <c r="D2035" i="50"/>
  <c r="D2032" i="50"/>
  <c r="D2033" i="50"/>
  <c r="D2034" i="50"/>
  <c r="D2036" i="50"/>
  <c r="C2032" i="50"/>
  <c r="C2033" i="50"/>
  <c r="C2034" i="50"/>
  <c r="C2035" i="50"/>
  <c r="C2036" i="50"/>
  <c r="D2029" i="50"/>
  <c r="C2029" i="50"/>
  <c r="C12" i="50"/>
  <c r="D12" i="50"/>
  <c r="D13" i="50"/>
  <c r="C14" i="50"/>
  <c r="D14" i="50"/>
  <c r="C15" i="50"/>
  <c r="D15" i="50"/>
  <c r="C16" i="50"/>
  <c r="C17" i="50"/>
  <c r="D17" i="50"/>
  <c r="C18" i="50"/>
  <c r="D18" i="50"/>
  <c r="C19" i="50"/>
  <c r="D19" i="50"/>
  <c r="C20" i="50"/>
  <c r="D20" i="50"/>
  <c r="C21" i="50"/>
  <c r="D21" i="50"/>
  <c r="C22" i="50"/>
  <c r="D22" i="50"/>
  <c r="C23" i="50"/>
  <c r="D23" i="50"/>
  <c r="C24" i="50"/>
  <c r="D24" i="50"/>
  <c r="D11" i="50"/>
  <c r="C43" i="50"/>
  <c r="D43" i="50"/>
  <c r="C27" i="50"/>
  <c r="D27" i="50"/>
  <c r="C28" i="50"/>
  <c r="D28" i="50"/>
  <c r="C29" i="50"/>
  <c r="D29" i="50"/>
  <c r="C30" i="50"/>
  <c r="D30" i="50"/>
  <c r="C31" i="50"/>
  <c r="D31" i="50"/>
  <c r="C32" i="50"/>
  <c r="D32" i="50"/>
  <c r="D33" i="50"/>
  <c r="C34" i="50"/>
  <c r="D34" i="50"/>
  <c r="C35" i="50"/>
  <c r="D35" i="50"/>
  <c r="C37" i="50"/>
  <c r="D37" i="50"/>
  <c r="C38" i="50"/>
  <c r="D38" i="50"/>
  <c r="C39" i="50"/>
  <c r="D39" i="50"/>
  <c r="C40" i="50"/>
  <c r="D40" i="50"/>
  <c r="C41" i="50"/>
  <c r="D41" i="50"/>
  <c r="C42" i="50"/>
  <c r="D42" i="50"/>
  <c r="D26" i="50"/>
  <c r="C26" i="50"/>
  <c r="D1024" i="50"/>
  <c r="C1024" i="50"/>
  <c r="C1022" i="50"/>
  <c r="D1022" i="50"/>
  <c r="C1021" i="50"/>
  <c r="D1021" i="50"/>
  <c r="C1020" i="50"/>
  <c r="D1020" i="50"/>
  <c r="C1019" i="50"/>
  <c r="D1019" i="50"/>
  <c r="C1018" i="50"/>
  <c r="D1018" i="50"/>
  <c r="C1016" i="50"/>
  <c r="D1016" i="50"/>
  <c r="C1015" i="50"/>
  <c r="D1015" i="50"/>
  <c r="C1014" i="50"/>
  <c r="D1014" i="50"/>
  <c r="C1013" i="50"/>
  <c r="D1013" i="50"/>
  <c r="C1012" i="50"/>
  <c r="D1012" i="50"/>
  <c r="D1011" i="50"/>
  <c r="C1011" i="50"/>
  <c r="C1039" i="50"/>
  <c r="D1039" i="50"/>
  <c r="C1038" i="50"/>
  <c r="D1038" i="50"/>
  <c r="C1037" i="50"/>
  <c r="D1037" i="50"/>
  <c r="D1034" i="50"/>
  <c r="C1033" i="50"/>
  <c r="C1032" i="50"/>
  <c r="D1032" i="50"/>
  <c r="C1031" i="50"/>
  <c r="D1031" i="50"/>
  <c r="C1030" i="50"/>
  <c r="D1030" i="50"/>
  <c r="C1029" i="50"/>
  <c r="D1029" i="50"/>
  <c r="C1028" i="50"/>
  <c r="D1028" i="50"/>
  <c r="C1027" i="50"/>
  <c r="D1027" i="50"/>
  <c r="C1026" i="50"/>
  <c r="D1026" i="50"/>
  <c r="C1025" i="50"/>
  <c r="D1025" i="50"/>
  <c r="C2022" i="50"/>
  <c r="D2022" i="50"/>
  <c r="C2021" i="50"/>
  <c r="D2021" i="50"/>
  <c r="C2020" i="50"/>
  <c r="D2020" i="50"/>
  <c r="C2019" i="50"/>
  <c r="D2019" i="50"/>
  <c r="C2018" i="50"/>
  <c r="D2018" i="50"/>
  <c r="C2017" i="50"/>
  <c r="D2017" i="50"/>
  <c r="C2016" i="50"/>
  <c r="D2016" i="50"/>
  <c r="C2015" i="50"/>
  <c r="D2015" i="50"/>
  <c r="C2014" i="50"/>
  <c r="D2014" i="50"/>
  <c r="C1017" i="50"/>
  <c r="D1017" i="50"/>
  <c r="E55" i="25"/>
  <c r="E54" i="25" s="1"/>
  <c r="D55" i="25"/>
  <c r="D54" i="25" s="1"/>
  <c r="E102" i="25"/>
  <c r="E101" i="25" s="1"/>
  <c r="D102" i="25"/>
  <c r="D101" i="25" s="1"/>
  <c r="E42" i="25"/>
  <c r="E39" i="25"/>
  <c r="D39" i="25"/>
  <c r="D8" i="25" s="1"/>
  <c r="E2030" i="50" l="1"/>
  <c r="D106" i="25"/>
  <c r="E1033" i="50"/>
  <c r="E1035" i="50"/>
  <c r="E1036" i="50"/>
  <c r="E43" i="50"/>
  <c r="E36" i="50"/>
  <c r="E2022" i="50"/>
  <c r="E2018" i="50"/>
  <c r="E1028" i="50"/>
  <c r="E1030" i="50"/>
  <c r="E1032" i="50"/>
  <c r="E1037" i="50"/>
  <c r="E1039" i="50"/>
  <c r="E1012" i="50"/>
  <c r="E1014" i="50"/>
  <c r="E1016" i="50"/>
  <c r="E1019" i="50"/>
  <c r="E1021" i="50"/>
  <c r="E1024" i="50"/>
  <c r="E2029" i="50"/>
  <c r="E2034" i="50"/>
  <c r="E2027" i="50"/>
  <c r="E2033" i="50"/>
  <c r="E1017" i="50"/>
  <c r="E2015" i="50"/>
  <c r="E2019" i="50"/>
  <c r="E1027" i="50"/>
  <c r="E1029" i="50"/>
  <c r="E1031" i="50"/>
  <c r="E1038" i="50"/>
  <c r="E1013" i="50"/>
  <c r="E1015" i="50"/>
  <c r="E1018" i="50"/>
  <c r="E1020" i="50"/>
  <c r="E1022" i="50"/>
  <c r="D25" i="50"/>
  <c r="D10" i="50"/>
  <c r="E2035" i="50"/>
  <c r="E2026" i="50"/>
  <c r="E2028" i="50"/>
  <c r="E2023" i="50"/>
  <c r="E2036" i="50"/>
  <c r="E2032" i="50"/>
  <c r="E1034" i="50"/>
  <c r="E2017" i="50"/>
  <c r="E2021" i="50"/>
  <c r="E2014" i="50"/>
  <c r="E2016" i="50"/>
  <c r="E2020" i="50"/>
  <c r="E11" i="50"/>
  <c r="C10" i="50"/>
  <c r="E23" i="50"/>
  <c r="E22" i="50"/>
  <c r="E21" i="50"/>
  <c r="E20" i="50"/>
  <c r="E19" i="50"/>
  <c r="E18" i="50"/>
  <c r="E17" i="50"/>
  <c r="E16" i="50"/>
  <c r="E15" i="50"/>
  <c r="E14" i="50"/>
  <c r="E13" i="50"/>
  <c r="E12" i="50"/>
  <c r="E24" i="50"/>
  <c r="E26" i="50"/>
  <c r="C25" i="50"/>
  <c r="E42" i="50"/>
  <c r="E41" i="50"/>
  <c r="E40" i="50"/>
  <c r="E39" i="50"/>
  <c r="E38" i="50"/>
  <c r="E37" i="50"/>
  <c r="E35" i="50"/>
  <c r="E34" i="50"/>
  <c r="E33" i="50"/>
  <c r="E32" i="50"/>
  <c r="E31" i="50"/>
  <c r="E30" i="50"/>
  <c r="E29" i="50"/>
  <c r="E28" i="50"/>
  <c r="E27" i="50"/>
  <c r="C2024" i="50"/>
  <c r="C2012" i="50"/>
  <c r="C1010" i="50"/>
  <c r="C1023" i="50"/>
  <c r="D2024" i="50"/>
  <c r="D2012" i="50"/>
  <c r="D1010" i="50"/>
  <c r="D1023" i="50"/>
  <c r="E2025" i="50"/>
  <c r="E2013" i="50"/>
  <c r="E1011" i="50"/>
  <c r="E1026" i="50"/>
  <c r="E106" i="25"/>
  <c r="D51" i="25"/>
  <c r="D108" i="25" s="1"/>
  <c r="E8" i="25"/>
  <c r="E51" i="25" s="1"/>
  <c r="C2037" i="50" l="1"/>
  <c r="D2037" i="50"/>
  <c r="D44" i="50"/>
  <c r="D1040" i="50"/>
  <c r="C1040" i="50"/>
  <c r="C44" i="50"/>
  <c r="E10" i="50"/>
  <c r="E108" i="25"/>
  <c r="E2012" i="50"/>
  <c r="E1010" i="50"/>
  <c r="E25" i="50"/>
  <c r="E1023" i="50"/>
  <c r="E2024" i="50"/>
  <c r="E1025" i="50"/>
  <c r="BV345" i="49"/>
  <c r="BW345" i="49"/>
  <c r="BX345" i="49"/>
  <c r="BY345" i="49"/>
  <c r="BZ345" i="49"/>
  <c r="CA345" i="49"/>
  <c r="CB345" i="49"/>
  <c r="CC345" i="49"/>
  <c r="CD345" i="49"/>
  <c r="CE345" i="49"/>
  <c r="CF345" i="49"/>
  <c r="CG345" i="49"/>
  <c r="CH345" i="49"/>
  <c r="CI345" i="49"/>
  <c r="CJ345" i="49"/>
  <c r="CK345" i="49"/>
  <c r="CL345" i="49"/>
  <c r="CM345" i="49"/>
  <c r="CN345" i="49"/>
  <c r="CO345" i="49"/>
  <c r="CP345" i="49"/>
  <c r="CQ345" i="49"/>
  <c r="CR345" i="49"/>
  <c r="BU345" i="49"/>
  <c r="BV326" i="49"/>
  <c r="BW326" i="49"/>
  <c r="BX326" i="49"/>
  <c r="BY326" i="49"/>
  <c r="BZ326" i="49"/>
  <c r="CA326" i="49"/>
  <c r="CB326" i="49"/>
  <c r="CC326" i="49"/>
  <c r="CD326" i="49"/>
  <c r="CE326" i="49"/>
  <c r="CF326" i="49"/>
  <c r="CG326" i="49"/>
  <c r="CH326" i="49"/>
  <c r="CI326" i="49"/>
  <c r="CJ326" i="49"/>
  <c r="CK326" i="49"/>
  <c r="CL326" i="49"/>
  <c r="CM326" i="49"/>
  <c r="CN326" i="49"/>
  <c r="CO326" i="49"/>
  <c r="CP326" i="49"/>
  <c r="CQ326" i="49"/>
  <c r="CR326" i="49"/>
  <c r="BU326" i="49"/>
  <c r="BN359" i="49"/>
  <c r="BN354" i="49"/>
  <c r="BN352" i="49"/>
  <c r="BN345" i="49"/>
  <c r="BN326" i="49"/>
  <c r="BN343" i="49"/>
  <c r="BN324" i="49"/>
  <c r="BN315" i="49"/>
  <c r="BN304" i="49"/>
  <c r="BN294" i="49"/>
  <c r="BN261" i="49"/>
  <c r="BV261" i="49"/>
  <c r="BW261" i="49"/>
  <c r="BX261" i="49"/>
  <c r="BY261" i="49"/>
  <c r="BZ261" i="49"/>
  <c r="CA261" i="49"/>
  <c r="CB261" i="49"/>
  <c r="CC261" i="49"/>
  <c r="CD261" i="49"/>
  <c r="CE261" i="49"/>
  <c r="CF261" i="49"/>
  <c r="CG261" i="49"/>
  <c r="CH261" i="49"/>
  <c r="CI261" i="49"/>
  <c r="CJ261" i="49"/>
  <c r="CK261" i="49"/>
  <c r="CL261" i="49"/>
  <c r="CM261" i="49"/>
  <c r="CN261" i="49"/>
  <c r="CO261" i="49"/>
  <c r="CP261" i="49"/>
  <c r="CQ261" i="49"/>
  <c r="CR261" i="49"/>
  <c r="BU261" i="49"/>
  <c r="BV304" i="49"/>
  <c r="BW304" i="49"/>
  <c r="BX304" i="49"/>
  <c r="BY304" i="49"/>
  <c r="BZ304" i="49"/>
  <c r="CA304" i="49"/>
  <c r="CB304" i="49"/>
  <c r="CC304" i="49"/>
  <c r="CD304" i="49"/>
  <c r="CE304" i="49"/>
  <c r="CF304" i="49"/>
  <c r="CG304" i="49"/>
  <c r="CH304" i="49"/>
  <c r="CI304" i="49"/>
  <c r="CJ304" i="49"/>
  <c r="CK304" i="49"/>
  <c r="CL304" i="49"/>
  <c r="CM304" i="49"/>
  <c r="CN304" i="49"/>
  <c r="CO304" i="49"/>
  <c r="CP304" i="49"/>
  <c r="CQ304" i="49"/>
  <c r="CR304" i="49"/>
  <c r="BU304" i="49"/>
  <c r="BV294" i="49"/>
  <c r="BW294" i="49"/>
  <c r="BX294" i="49"/>
  <c r="BY294" i="49"/>
  <c r="BZ294" i="49"/>
  <c r="CA294" i="49"/>
  <c r="CB294" i="49"/>
  <c r="CC294" i="49"/>
  <c r="CD294" i="49"/>
  <c r="CE294" i="49"/>
  <c r="CF294" i="49"/>
  <c r="CG294" i="49"/>
  <c r="CH294" i="49"/>
  <c r="CI294" i="49"/>
  <c r="CJ294" i="49"/>
  <c r="CK294" i="49"/>
  <c r="CL294" i="49"/>
  <c r="CM294" i="49"/>
  <c r="CN294" i="49"/>
  <c r="CO294" i="49"/>
  <c r="CP294" i="49"/>
  <c r="CQ294" i="49"/>
  <c r="CR294" i="49"/>
  <c r="BU294" i="49"/>
  <c r="BV315" i="49" l="1"/>
  <c r="BV324" i="49" s="1"/>
  <c r="C96" i="49"/>
  <c r="D96" i="49"/>
  <c r="C97" i="49"/>
  <c r="C52" i="49"/>
  <c r="D91" i="49"/>
  <c r="C91" i="49"/>
  <c r="C82" i="49"/>
  <c r="C84" i="49"/>
  <c r="C78" i="49"/>
  <c r="C63" i="49"/>
  <c r="C86" i="49"/>
  <c r="C79" i="49"/>
  <c r="C83" i="49"/>
  <c r="C81" i="49"/>
  <c r="C80" i="49"/>
  <c r="D63" i="49"/>
  <c r="C85" i="49"/>
  <c r="C77" i="49"/>
  <c r="C12" i="49"/>
  <c r="C62" i="49"/>
  <c r="E2037" i="50"/>
  <c r="E1040" i="50"/>
  <c r="E44" i="50"/>
  <c r="C13" i="49"/>
  <c r="D13" i="49"/>
  <c r="C14" i="49"/>
  <c r="D14" i="49"/>
  <c r="C15" i="49"/>
  <c r="D15" i="49"/>
  <c r="C16" i="49"/>
  <c r="D16" i="49"/>
  <c r="C17" i="49"/>
  <c r="D17" i="49"/>
  <c r="C18" i="49"/>
  <c r="D18" i="49"/>
  <c r="C19" i="49"/>
  <c r="D19" i="49"/>
  <c r="C20" i="49"/>
  <c r="D20" i="49"/>
  <c r="C21" i="49"/>
  <c r="D21" i="49"/>
  <c r="C22" i="49"/>
  <c r="D22" i="49"/>
  <c r="C23" i="49"/>
  <c r="D23" i="49"/>
  <c r="C24" i="49"/>
  <c r="D24" i="49"/>
  <c r="C25" i="49"/>
  <c r="D25" i="49"/>
  <c r="C26" i="49"/>
  <c r="D26" i="49"/>
  <c r="C27" i="49"/>
  <c r="D27" i="49"/>
  <c r="C28" i="49"/>
  <c r="D28" i="49"/>
  <c r="C29" i="49"/>
  <c r="D29" i="49"/>
  <c r="C30" i="49"/>
  <c r="D30" i="49"/>
  <c r="C31" i="49"/>
  <c r="D31" i="49"/>
  <c r="C32" i="49"/>
  <c r="D32" i="49"/>
  <c r="C33" i="49"/>
  <c r="D33" i="49"/>
  <c r="C34" i="49"/>
  <c r="D34" i="49"/>
  <c r="C35" i="49"/>
  <c r="D35" i="49"/>
  <c r="C36" i="49"/>
  <c r="D36" i="49"/>
  <c r="C37" i="49"/>
  <c r="D37" i="49"/>
  <c r="C38" i="49"/>
  <c r="D38" i="49"/>
  <c r="C39" i="49"/>
  <c r="D39" i="49"/>
  <c r="C40" i="49"/>
  <c r="D40" i="49"/>
  <c r="C41" i="49"/>
  <c r="D41" i="49"/>
  <c r="C42" i="49"/>
  <c r="D42" i="49"/>
  <c r="D12" i="49"/>
  <c r="C72" i="49"/>
  <c r="D72" i="49"/>
  <c r="C71" i="49"/>
  <c r="D71" i="49"/>
  <c r="C70" i="49"/>
  <c r="D70" i="49"/>
  <c r="C69" i="49"/>
  <c r="D69" i="49"/>
  <c r="C68" i="49"/>
  <c r="D68" i="49"/>
  <c r="D67" i="49"/>
  <c r="C67" i="49"/>
  <c r="C56" i="49"/>
  <c r="D56" i="49"/>
  <c r="C57" i="49"/>
  <c r="D57" i="49"/>
  <c r="C58" i="49"/>
  <c r="D58" i="49"/>
  <c r="C59" i="49"/>
  <c r="D59" i="49"/>
  <c r="C60" i="49"/>
  <c r="D60" i="49"/>
  <c r="C61" i="49"/>
  <c r="D61" i="49"/>
  <c r="D62" i="49"/>
  <c r="D55" i="49"/>
  <c r="C55" i="49"/>
  <c r="C46" i="49"/>
  <c r="D46" i="49"/>
  <c r="C47" i="49"/>
  <c r="D47" i="49"/>
  <c r="C48" i="49"/>
  <c r="D48" i="49"/>
  <c r="C49" i="49"/>
  <c r="D49" i="49"/>
  <c r="C50" i="49"/>
  <c r="D50" i="49"/>
  <c r="C51" i="49"/>
  <c r="D51" i="49"/>
  <c r="D52" i="49"/>
  <c r="D45" i="49"/>
  <c r="C45" i="49"/>
  <c r="D77" i="49"/>
  <c r="C90" i="49"/>
  <c r="D90" i="49"/>
  <c r="C89" i="49"/>
  <c r="D89" i="49"/>
  <c r="C88" i="49"/>
  <c r="D88" i="49"/>
  <c r="C87" i="49"/>
  <c r="D87" i="49"/>
  <c r="D86" i="49"/>
  <c r="D85" i="49"/>
  <c r="D84" i="49"/>
  <c r="D83" i="49"/>
  <c r="D82" i="49"/>
  <c r="D81" i="49"/>
  <c r="D80" i="49"/>
  <c r="D79" i="49"/>
  <c r="D78" i="49"/>
  <c r="D97" i="49"/>
  <c r="C100" i="49"/>
  <c r="D100" i="49"/>
  <c r="C99" i="49"/>
  <c r="D99" i="49"/>
  <c r="C98" i="49"/>
  <c r="D98" i="49"/>
  <c r="C107" i="49"/>
  <c r="D107" i="49"/>
  <c r="D106" i="49"/>
  <c r="C106" i="49"/>
  <c r="BU315" i="49"/>
  <c r="BU324" i="49" s="1"/>
  <c r="CR315" i="49"/>
  <c r="CR324" i="49" s="1"/>
  <c r="CR354" i="49" s="1"/>
  <c r="CQ315" i="49"/>
  <c r="CQ324" i="49" s="1"/>
  <c r="CQ354" i="49" s="1"/>
  <c r="CP315" i="49"/>
  <c r="CP324" i="49" s="1"/>
  <c r="CP354" i="49" s="1"/>
  <c r="CO315" i="49"/>
  <c r="CO324" i="49" s="1"/>
  <c r="CO354" i="49" s="1"/>
  <c r="CN315" i="49"/>
  <c r="CN324" i="49" s="1"/>
  <c r="CN354" i="49" s="1"/>
  <c r="CM315" i="49"/>
  <c r="CM324" i="49" s="1"/>
  <c r="CM354" i="49" s="1"/>
  <c r="CL315" i="49"/>
  <c r="CL324" i="49" s="1"/>
  <c r="CL354" i="49" s="1"/>
  <c r="CK315" i="49"/>
  <c r="CK324" i="49" s="1"/>
  <c r="CK354" i="49" s="1"/>
  <c r="CJ315" i="49"/>
  <c r="CJ324" i="49" s="1"/>
  <c r="CJ354" i="49" s="1"/>
  <c r="CI315" i="49"/>
  <c r="CI324" i="49" s="1"/>
  <c r="CI354" i="49" s="1"/>
  <c r="CH315" i="49"/>
  <c r="CH324" i="49" s="1"/>
  <c r="CH354" i="49" s="1"/>
  <c r="CG315" i="49"/>
  <c r="CG324" i="49" s="1"/>
  <c r="CG354" i="49" s="1"/>
  <c r="CF315" i="49"/>
  <c r="CF324" i="49" s="1"/>
  <c r="CF354" i="49" s="1"/>
  <c r="CE315" i="49"/>
  <c r="CE324" i="49" s="1"/>
  <c r="CE354" i="49" s="1"/>
  <c r="CD315" i="49"/>
  <c r="CD324" i="49" s="1"/>
  <c r="CD354" i="49" s="1"/>
  <c r="CC315" i="49"/>
  <c r="CC324" i="49" s="1"/>
  <c r="CC354" i="49" s="1"/>
  <c r="CB315" i="49"/>
  <c r="CB324" i="49" s="1"/>
  <c r="CB354" i="49" s="1"/>
  <c r="CA315" i="49"/>
  <c r="CA324" i="49" s="1"/>
  <c r="CA354" i="49" s="1"/>
  <c r="BZ315" i="49"/>
  <c r="BZ324" i="49" s="1"/>
  <c r="BZ354" i="49" s="1"/>
  <c r="BY315" i="49"/>
  <c r="BY324" i="49" s="1"/>
  <c r="BY354" i="49" s="1"/>
  <c r="BX315" i="49"/>
  <c r="BX324" i="49" s="1"/>
  <c r="BX354" i="49" s="1"/>
  <c r="BW315" i="49"/>
  <c r="BW324" i="49" s="1"/>
  <c r="BW354" i="49" s="1"/>
  <c r="BV354" i="49"/>
  <c r="BU354" i="49"/>
  <c r="BK284" i="46"/>
  <c r="BK277" i="46"/>
  <c r="BK276" i="46"/>
  <c r="BK274" i="46"/>
  <c r="BK261" i="46"/>
  <c r="BK205" i="46"/>
  <c r="BK241" i="46"/>
  <c r="BK242" i="46"/>
  <c r="BK239" i="46"/>
  <c r="BK222" i="46"/>
  <c r="BK221" i="46"/>
  <c r="BK206" i="46"/>
  <c r="C2035" i="46" s="1"/>
  <c r="BZ298" i="43"/>
  <c r="BZ278" i="43" s="1"/>
  <c r="CA298" i="43"/>
  <c r="CA278" i="43" s="1"/>
  <c r="CA308" i="43" s="1"/>
  <c r="CB298" i="43"/>
  <c r="CB278" i="43" s="1"/>
  <c r="CB308" i="43" s="1"/>
  <c r="CC298" i="43"/>
  <c r="CC278" i="43" s="1"/>
  <c r="CD298" i="43"/>
  <c r="CD278" i="43" s="1"/>
  <c r="CD308" i="43" s="1"/>
  <c r="CE298" i="43"/>
  <c r="CE278" i="43" s="1"/>
  <c r="CE308" i="43" s="1"/>
  <c r="CF298" i="43"/>
  <c r="CF278" i="43" s="1"/>
  <c r="CF308" i="43" s="1"/>
  <c r="CG298" i="43"/>
  <c r="CG278" i="43" s="1"/>
  <c r="CG308" i="43" s="1"/>
  <c r="CH298" i="43"/>
  <c r="CH278" i="43" s="1"/>
  <c r="CH308" i="43" s="1"/>
  <c r="CI298" i="43"/>
  <c r="CI278" i="43" s="1"/>
  <c r="CI308" i="43" s="1"/>
  <c r="CJ298" i="43"/>
  <c r="CJ278" i="43" s="1"/>
  <c r="CJ308" i="43" s="1"/>
  <c r="CK298" i="43"/>
  <c r="CK278" i="43" s="1"/>
  <c r="CL298" i="43"/>
  <c r="CL278" i="43" s="1"/>
  <c r="CL308" i="43" s="1"/>
  <c r="CN298" i="43"/>
  <c r="CN278" i="43" s="1"/>
  <c r="CN308" i="43" s="1"/>
  <c r="CO298" i="43"/>
  <c r="CO278" i="43" s="1"/>
  <c r="CO308" i="43" s="1"/>
  <c r="CR298" i="43"/>
  <c r="CR278" i="43" s="1"/>
  <c r="CR308" i="43" s="1"/>
  <c r="CS298" i="43"/>
  <c r="CS278" i="43" s="1"/>
  <c r="CS308" i="43" s="1"/>
  <c r="CT298" i="43"/>
  <c r="CT278" i="43" s="1"/>
  <c r="CT308" i="43" s="1"/>
  <c r="CT312" i="43" s="1"/>
  <c r="CU298" i="43"/>
  <c r="CU278" i="43" s="1"/>
  <c r="CU308" i="43" s="1"/>
  <c r="CV298" i="43"/>
  <c r="CV278" i="43" s="1"/>
  <c r="CV308" i="43" s="1"/>
  <c r="BY278" i="43"/>
  <c r="BY308" i="43" s="1"/>
  <c r="CR309" i="43"/>
  <c r="CS309" i="43"/>
  <c r="CT309" i="43"/>
  <c r="CU309" i="43"/>
  <c r="CR313" i="43"/>
  <c r="CS313" i="43"/>
  <c r="CT313" i="43"/>
  <c r="CU313" i="43"/>
  <c r="CM308" i="43"/>
  <c r="CP308" i="43"/>
  <c r="CQ308" i="43"/>
  <c r="CL309" i="43"/>
  <c r="CM309" i="43"/>
  <c r="CN309" i="43"/>
  <c r="CO309" i="43"/>
  <c r="CP309" i="43"/>
  <c r="CQ309" i="43"/>
  <c r="CL313" i="43"/>
  <c r="CM313" i="43"/>
  <c r="CN313" i="43"/>
  <c r="CO313" i="43"/>
  <c r="CP313" i="43"/>
  <c r="CQ313" i="43"/>
  <c r="CC308" i="43"/>
  <c r="CK308" i="43"/>
  <c r="CA309" i="43"/>
  <c r="CB309" i="43"/>
  <c r="CC309" i="43"/>
  <c r="CD309" i="43"/>
  <c r="CE309" i="43"/>
  <c r="CF309" i="43"/>
  <c r="CG309" i="43"/>
  <c r="CH309" i="43"/>
  <c r="CI309" i="43"/>
  <c r="CJ309" i="43"/>
  <c r="CK309" i="43"/>
  <c r="CA313" i="43"/>
  <c r="CB313" i="43"/>
  <c r="CC313" i="43"/>
  <c r="CD313" i="43"/>
  <c r="CE313" i="43"/>
  <c r="CF313" i="43"/>
  <c r="CG313" i="43"/>
  <c r="CH313" i="43"/>
  <c r="CI313" i="43"/>
  <c r="CJ313" i="43"/>
  <c r="BZ313" i="43"/>
  <c r="BZ309" i="43"/>
  <c r="BY309" i="43"/>
  <c r="BZ308" i="43"/>
  <c r="B13" i="46"/>
  <c r="G50" i="46"/>
  <c r="G46" i="46"/>
  <c r="G47" i="46"/>
  <c r="G48" i="46"/>
  <c r="G49" i="46"/>
  <c r="G45" i="46"/>
  <c r="G44" i="46"/>
  <c r="G30" i="46"/>
  <c r="G31" i="46"/>
  <c r="G32" i="46"/>
  <c r="G33" i="46"/>
  <c r="G34" i="46"/>
  <c r="G35" i="46"/>
  <c r="G36" i="46"/>
  <c r="G37" i="46"/>
  <c r="G38" i="46"/>
  <c r="G39" i="46"/>
  <c r="G40" i="46"/>
  <c r="G29" i="46"/>
  <c r="G11" i="46"/>
  <c r="G12" i="46"/>
  <c r="G13" i="46"/>
  <c r="G14" i="46"/>
  <c r="G15" i="46"/>
  <c r="G16" i="46"/>
  <c r="G17" i="46"/>
  <c r="G18" i="46"/>
  <c r="G19" i="46"/>
  <c r="G20" i="46"/>
  <c r="G21" i="46"/>
  <c r="G22" i="46"/>
  <c r="G23" i="46"/>
  <c r="G24" i="46"/>
  <c r="G25" i="46"/>
  <c r="G26" i="46"/>
  <c r="G27" i="46"/>
  <c r="G10" i="46"/>
  <c r="B39" i="46"/>
  <c r="B40" i="46"/>
  <c r="B41" i="46"/>
  <c r="B38" i="46"/>
  <c r="B27" i="46"/>
  <c r="B28" i="46"/>
  <c r="B29" i="46"/>
  <c r="B30" i="46"/>
  <c r="B31" i="46"/>
  <c r="B32" i="46"/>
  <c r="B33" i="46"/>
  <c r="B34" i="46"/>
  <c r="B35" i="46"/>
  <c r="B36" i="46"/>
  <c r="B37" i="46"/>
  <c r="B26" i="46"/>
  <c r="B11" i="46"/>
  <c r="B12" i="46"/>
  <c r="B15" i="46"/>
  <c r="B17" i="46"/>
  <c r="B18" i="46"/>
  <c r="B19" i="46"/>
  <c r="B20" i="46"/>
  <c r="B21" i="46"/>
  <c r="B10" i="46"/>
  <c r="CO277" i="46"/>
  <c r="CO284" i="46" s="1"/>
  <c r="CN277" i="46"/>
  <c r="CN284" i="46" s="1"/>
  <c r="CM277" i="46"/>
  <c r="CM284" i="46" s="1"/>
  <c r="CL277" i="46"/>
  <c r="CL284" i="46" s="1"/>
  <c r="CK277" i="46"/>
  <c r="CK284" i="46" s="1"/>
  <c r="CJ277" i="46"/>
  <c r="CJ284" i="46" s="1"/>
  <c r="CI277" i="46"/>
  <c r="CI284" i="46" s="1"/>
  <c r="CH277" i="46"/>
  <c r="CH284" i="46" s="1"/>
  <c r="CG277" i="46"/>
  <c r="CG284" i="46" s="1"/>
  <c r="CF277" i="46"/>
  <c r="CF284" i="46" s="1"/>
  <c r="CE277" i="46"/>
  <c r="CE284" i="46" s="1"/>
  <c r="CD277" i="46"/>
  <c r="CD284" i="46" s="1"/>
  <c r="CC277" i="46"/>
  <c r="CC284" i="46" s="1"/>
  <c r="CB277" i="46"/>
  <c r="CB284" i="46" s="1"/>
  <c r="CA277" i="46"/>
  <c r="CA284" i="46" s="1"/>
  <c r="BZ277" i="46"/>
  <c r="BZ284" i="46" s="1"/>
  <c r="BY277" i="46"/>
  <c r="BY284" i="46" s="1"/>
  <c r="BX277" i="46"/>
  <c r="BX284" i="46" s="1"/>
  <c r="BW277" i="46"/>
  <c r="BW284" i="46" s="1"/>
  <c r="BV277" i="46"/>
  <c r="BV284" i="46" s="1"/>
  <c r="BU277" i="46"/>
  <c r="BU284" i="46" s="1"/>
  <c r="BT277" i="46"/>
  <c r="BT284" i="46" s="1"/>
  <c r="BS277" i="46"/>
  <c r="BS284" i="46" s="1"/>
  <c r="BR277" i="46"/>
  <c r="BR284" i="46" s="1"/>
  <c r="CO276" i="46"/>
  <c r="CN276" i="46"/>
  <c r="CM276" i="46"/>
  <c r="CL276" i="46"/>
  <c r="CK276" i="46"/>
  <c r="CJ276" i="46"/>
  <c r="CI276" i="46"/>
  <c r="CH276" i="46"/>
  <c r="CG276" i="46"/>
  <c r="CF276" i="46"/>
  <c r="CE276" i="46"/>
  <c r="CD276" i="46"/>
  <c r="CC276" i="46"/>
  <c r="CB276" i="46"/>
  <c r="CA276" i="46"/>
  <c r="BZ276" i="46"/>
  <c r="BY276" i="46"/>
  <c r="BX276" i="46"/>
  <c r="BW276" i="46"/>
  <c r="BV276" i="46"/>
  <c r="BU276" i="46"/>
  <c r="BT276" i="46"/>
  <c r="BS276" i="46"/>
  <c r="CO261" i="46"/>
  <c r="CN261" i="46"/>
  <c r="CM261" i="46"/>
  <c r="CL261" i="46"/>
  <c r="CK261" i="46"/>
  <c r="CJ261" i="46"/>
  <c r="CI261" i="46"/>
  <c r="CH261" i="46"/>
  <c r="CG261" i="46"/>
  <c r="CF261" i="46"/>
  <c r="CE261" i="46"/>
  <c r="CD261" i="46"/>
  <c r="CC261" i="46"/>
  <c r="CB261" i="46"/>
  <c r="CA261" i="46"/>
  <c r="BZ261" i="46"/>
  <c r="BY261" i="46"/>
  <c r="BX261" i="46"/>
  <c r="BW261" i="46"/>
  <c r="BV261" i="46"/>
  <c r="BU261" i="46"/>
  <c r="BT261" i="46"/>
  <c r="BS261" i="46"/>
  <c r="BR261" i="46"/>
  <c r="CO242" i="46"/>
  <c r="CN242" i="46"/>
  <c r="CM242" i="46"/>
  <c r="CL242" i="46"/>
  <c r="CK242" i="46"/>
  <c r="CJ242" i="46"/>
  <c r="CI242" i="46"/>
  <c r="CH242" i="46"/>
  <c r="CG242" i="46"/>
  <c r="CF242" i="46"/>
  <c r="CE242" i="46"/>
  <c r="CD242" i="46"/>
  <c r="CC242" i="46"/>
  <c r="CB242" i="46"/>
  <c r="CA242" i="46"/>
  <c r="BZ242" i="46"/>
  <c r="BY242" i="46"/>
  <c r="BX242" i="46"/>
  <c r="BW242" i="46"/>
  <c r="BV242" i="46"/>
  <c r="BU242" i="46"/>
  <c r="BT242" i="46"/>
  <c r="BS242" i="46"/>
  <c r="BR242" i="46"/>
  <c r="CO222" i="46"/>
  <c r="CO221" i="46" s="1"/>
  <c r="CN222" i="46"/>
  <c r="CN221" i="46" s="1"/>
  <c r="CM222" i="46"/>
  <c r="CM221" i="46" s="1"/>
  <c r="CL222" i="46"/>
  <c r="CL221" i="46" s="1"/>
  <c r="CK222" i="46"/>
  <c r="CK221" i="46" s="1"/>
  <c r="CJ222" i="46"/>
  <c r="CJ221" i="46" s="1"/>
  <c r="CI222" i="46"/>
  <c r="CI221" i="46" s="1"/>
  <c r="CH222" i="46"/>
  <c r="CG222" i="46"/>
  <c r="CG221" i="46" s="1"/>
  <c r="CF222" i="46"/>
  <c r="CF221" i="46" s="1"/>
  <c r="CE222" i="46"/>
  <c r="CE221" i="46" s="1"/>
  <c r="CD222" i="46"/>
  <c r="CC222" i="46"/>
  <c r="CC221" i="46" s="1"/>
  <c r="CB222" i="46"/>
  <c r="CA222" i="46"/>
  <c r="CA221" i="46" s="1"/>
  <c r="BZ222" i="46"/>
  <c r="BZ221" i="46" s="1"/>
  <c r="BY222" i="46"/>
  <c r="BY221" i="46" s="1"/>
  <c r="BX222" i="46"/>
  <c r="BX221" i="46" s="1"/>
  <c r="BW222" i="46"/>
  <c r="BW221" i="46" s="1"/>
  <c r="BV222" i="46"/>
  <c r="BV221" i="46" s="1"/>
  <c r="BU222" i="46"/>
  <c r="BU221" i="46" s="1"/>
  <c r="BT222" i="46"/>
  <c r="BT221" i="46" s="1"/>
  <c r="BS222" i="46"/>
  <c r="BS221" i="46" s="1"/>
  <c r="CH221" i="46"/>
  <c r="CD221" i="46"/>
  <c r="CB221" i="46"/>
  <c r="BR221" i="46"/>
  <c r="CO206" i="46"/>
  <c r="CN206" i="46"/>
  <c r="CM206" i="46"/>
  <c r="CL206" i="46"/>
  <c r="CK206" i="46"/>
  <c r="CJ206" i="46"/>
  <c r="CI206" i="46"/>
  <c r="CH206" i="46"/>
  <c r="CG206" i="46"/>
  <c r="CF206" i="46"/>
  <c r="CE206" i="46"/>
  <c r="CD206" i="46"/>
  <c r="CC206" i="46"/>
  <c r="CB206" i="46"/>
  <c r="CA206" i="46"/>
  <c r="BZ206" i="46"/>
  <c r="BY206" i="46"/>
  <c r="BX206" i="46"/>
  <c r="BW206" i="46"/>
  <c r="BV206" i="46"/>
  <c r="BU206" i="46"/>
  <c r="BT206" i="46"/>
  <c r="BS206" i="46"/>
  <c r="BR206" i="46"/>
  <c r="D102" i="49" l="1"/>
  <c r="C102" i="49"/>
  <c r="D93" i="49"/>
  <c r="D109" i="49"/>
  <c r="CR312" i="43"/>
  <c r="CR316" i="43" s="1"/>
  <c r="I1030" i="46"/>
  <c r="I1029" i="46"/>
  <c r="H1029" i="46"/>
  <c r="H1030" i="46"/>
  <c r="C109" i="49"/>
  <c r="C93" i="49"/>
  <c r="CU312" i="43"/>
  <c r="CU316" i="43" s="1"/>
  <c r="CB312" i="43"/>
  <c r="CJ312" i="43"/>
  <c r="CF312" i="43"/>
  <c r="CM312" i="43"/>
  <c r="CO312" i="43"/>
  <c r="CO316" i="43" s="1"/>
  <c r="CH312" i="43"/>
  <c r="CH316" i="43" s="1"/>
  <c r="CD312" i="43"/>
  <c r="CD316" i="43" s="1"/>
  <c r="CC312" i="43"/>
  <c r="CC316" i="43" s="1"/>
  <c r="CS312" i="43"/>
  <c r="CL312" i="43"/>
  <c r="CG312" i="43"/>
  <c r="CG316" i="43" s="1"/>
  <c r="CQ312" i="43"/>
  <c r="CQ316" i="43" s="1"/>
  <c r="CP312" i="43"/>
  <c r="CP316" i="43" s="1"/>
  <c r="CN312" i="43"/>
  <c r="CI312" i="43"/>
  <c r="CI316" i="43" s="1"/>
  <c r="CE312" i="43"/>
  <c r="CE316" i="43" s="1"/>
  <c r="CA312" i="43"/>
  <c r="CA316" i="43" s="1"/>
  <c r="D10" i="46"/>
  <c r="D23" i="46"/>
  <c r="D22" i="46"/>
  <c r="D21" i="46"/>
  <c r="D20" i="46"/>
  <c r="D19" i="46"/>
  <c r="D18" i="46"/>
  <c r="D17" i="46"/>
  <c r="D15" i="46"/>
  <c r="D12" i="46"/>
  <c r="D11" i="46"/>
  <c r="D26" i="46"/>
  <c r="D37" i="46"/>
  <c r="D36" i="46"/>
  <c r="D35" i="46"/>
  <c r="D34" i="46"/>
  <c r="D33" i="46"/>
  <c r="D32" i="46"/>
  <c r="D31" i="46"/>
  <c r="D30" i="46"/>
  <c r="D29" i="46"/>
  <c r="D28" i="46"/>
  <c r="D27" i="46"/>
  <c r="D38" i="46"/>
  <c r="D41" i="46"/>
  <c r="D40" i="46"/>
  <c r="D39" i="46"/>
  <c r="I10" i="46"/>
  <c r="I27" i="46"/>
  <c r="I26" i="46"/>
  <c r="I25" i="46"/>
  <c r="I24" i="46"/>
  <c r="I23" i="46"/>
  <c r="I22" i="46"/>
  <c r="I21" i="46"/>
  <c r="I20" i="46"/>
  <c r="I19" i="46"/>
  <c r="I18" i="46"/>
  <c r="I17" i="46"/>
  <c r="I16" i="46"/>
  <c r="I15" i="46"/>
  <c r="I14" i="46"/>
  <c r="I13" i="46"/>
  <c r="I12" i="46"/>
  <c r="I11" i="46"/>
  <c r="I29" i="46"/>
  <c r="H29" i="46"/>
  <c r="H40" i="46"/>
  <c r="I40" i="46"/>
  <c r="H39" i="46"/>
  <c r="I39" i="46"/>
  <c r="H38" i="46"/>
  <c r="I38" i="46"/>
  <c r="H37" i="46"/>
  <c r="I37" i="46"/>
  <c r="H36" i="46"/>
  <c r="I36" i="46"/>
  <c r="H35" i="46"/>
  <c r="I35" i="46"/>
  <c r="H34" i="46"/>
  <c r="I34" i="46"/>
  <c r="H33" i="46"/>
  <c r="I33" i="46"/>
  <c r="H32" i="46"/>
  <c r="I32" i="46"/>
  <c r="H31" i="46"/>
  <c r="I31" i="46"/>
  <c r="H30" i="46"/>
  <c r="I30" i="46"/>
  <c r="I50" i="46"/>
  <c r="I46" i="46"/>
  <c r="I47" i="46"/>
  <c r="I48" i="46"/>
  <c r="I49" i="46"/>
  <c r="I45" i="46"/>
  <c r="D13" i="46"/>
  <c r="D16" i="46"/>
  <c r="D14" i="46"/>
  <c r="D1012" i="46"/>
  <c r="C1012" i="46"/>
  <c r="C1020" i="46"/>
  <c r="D1020" i="46"/>
  <c r="C1019" i="46"/>
  <c r="D1019" i="46"/>
  <c r="C1018" i="46"/>
  <c r="D1018" i="46"/>
  <c r="C1017" i="46"/>
  <c r="D1017" i="46"/>
  <c r="C1016" i="46"/>
  <c r="D1016" i="46"/>
  <c r="C1015" i="46"/>
  <c r="D1015" i="46"/>
  <c r="C1014" i="46"/>
  <c r="D1014" i="46"/>
  <c r="C1013" i="46"/>
  <c r="D1013" i="46"/>
  <c r="C1022" i="46"/>
  <c r="D1022" i="46"/>
  <c r="C1021" i="46"/>
  <c r="D1021" i="46"/>
  <c r="C1024" i="46"/>
  <c r="D1024" i="46"/>
  <c r="C1023" i="46"/>
  <c r="D1023" i="46"/>
  <c r="D1027" i="46"/>
  <c r="C1027" i="46"/>
  <c r="D1038" i="46"/>
  <c r="C1038" i="46"/>
  <c r="C1037" i="46"/>
  <c r="D1037" i="46"/>
  <c r="C1036" i="46"/>
  <c r="D1036" i="46"/>
  <c r="D1035" i="46"/>
  <c r="C1035" i="46"/>
  <c r="C1034" i="46"/>
  <c r="D1034" i="46"/>
  <c r="C1033" i="46"/>
  <c r="D1033" i="46"/>
  <c r="C1032" i="46"/>
  <c r="D1032" i="46"/>
  <c r="C1031" i="46"/>
  <c r="D1031" i="46"/>
  <c r="C1030" i="46"/>
  <c r="D1030" i="46"/>
  <c r="C1029" i="46"/>
  <c r="D1029" i="46"/>
  <c r="C1028" i="46"/>
  <c r="D1028" i="46"/>
  <c r="D1039" i="46"/>
  <c r="C1039" i="46"/>
  <c r="I1012" i="46"/>
  <c r="H1012" i="46"/>
  <c r="H1017" i="46"/>
  <c r="I1017" i="46"/>
  <c r="H1016" i="46"/>
  <c r="I1016" i="46"/>
  <c r="H1015" i="46"/>
  <c r="I1015" i="46"/>
  <c r="H1014" i="46"/>
  <c r="I1014" i="46"/>
  <c r="H1013" i="46"/>
  <c r="I1013" i="46"/>
  <c r="H1023" i="46"/>
  <c r="I1023" i="46"/>
  <c r="H1022" i="46"/>
  <c r="I1022" i="46"/>
  <c r="H1021" i="46"/>
  <c r="I1021" i="46"/>
  <c r="H1020" i="46"/>
  <c r="I1020" i="46"/>
  <c r="H1019" i="46"/>
  <c r="I1019" i="46"/>
  <c r="H1018" i="46"/>
  <c r="I1018" i="46"/>
  <c r="H1026" i="46"/>
  <c r="I1026" i="46"/>
  <c r="H1025" i="46"/>
  <c r="I1025" i="46"/>
  <c r="H1024" i="46"/>
  <c r="I1024" i="46"/>
  <c r="H1028" i="46"/>
  <c r="I1028" i="46"/>
  <c r="H1027" i="46"/>
  <c r="I1027" i="46"/>
  <c r="H1031" i="46"/>
  <c r="I1031" i="46"/>
  <c r="I1033" i="46"/>
  <c r="H1033" i="46"/>
  <c r="H1040" i="46"/>
  <c r="I1040" i="46"/>
  <c r="H1039" i="46"/>
  <c r="I1039" i="46"/>
  <c r="H1038" i="46"/>
  <c r="I1038" i="46"/>
  <c r="I1037" i="46"/>
  <c r="H1037" i="46"/>
  <c r="H1036" i="46"/>
  <c r="I1036" i="46"/>
  <c r="H1035" i="46"/>
  <c r="I1035" i="46"/>
  <c r="H1034" i="46"/>
  <c r="I1034" i="46"/>
  <c r="H1042" i="46"/>
  <c r="I1042" i="46"/>
  <c r="H1041" i="46"/>
  <c r="I1041" i="46"/>
  <c r="I1046" i="46"/>
  <c r="H1046" i="46"/>
  <c r="H1050" i="46"/>
  <c r="I1050" i="46"/>
  <c r="I1049" i="46"/>
  <c r="H1049" i="46"/>
  <c r="H1048" i="46"/>
  <c r="I1048" i="46"/>
  <c r="H1047" i="46"/>
  <c r="I1047" i="46"/>
  <c r="D2012" i="46"/>
  <c r="C2012" i="46"/>
  <c r="C2024" i="46"/>
  <c r="D2024" i="46"/>
  <c r="C2023" i="46"/>
  <c r="D2023" i="46"/>
  <c r="C2022" i="46"/>
  <c r="D2022" i="46"/>
  <c r="C2021" i="46"/>
  <c r="D2021" i="46"/>
  <c r="C2020" i="46"/>
  <c r="D2020" i="46"/>
  <c r="C2019" i="46"/>
  <c r="D2019" i="46"/>
  <c r="C2018" i="46"/>
  <c r="D2018" i="46"/>
  <c r="C2017" i="46"/>
  <c r="D2017" i="46"/>
  <c r="C2014" i="46"/>
  <c r="D2014" i="46"/>
  <c r="C2013" i="46"/>
  <c r="D2013" i="46"/>
  <c r="C2025" i="46"/>
  <c r="D2025" i="46"/>
  <c r="C2015" i="46"/>
  <c r="D2015" i="46"/>
  <c r="C2016" i="46"/>
  <c r="D2016" i="46"/>
  <c r="D2028" i="46"/>
  <c r="C2028" i="46"/>
  <c r="C2040" i="46"/>
  <c r="D2040" i="46"/>
  <c r="D2039" i="46"/>
  <c r="C2039" i="46"/>
  <c r="C2038" i="46"/>
  <c r="D2038" i="46"/>
  <c r="C2037" i="46"/>
  <c r="D2037" i="46"/>
  <c r="C2036" i="46"/>
  <c r="D2036" i="46"/>
  <c r="D2035" i="46"/>
  <c r="C2034" i="46"/>
  <c r="D2034" i="46"/>
  <c r="C2033" i="46"/>
  <c r="D2033" i="46"/>
  <c r="C2032" i="46"/>
  <c r="D2032" i="46"/>
  <c r="C2031" i="46"/>
  <c r="D2031" i="46"/>
  <c r="C2030" i="46"/>
  <c r="D2030" i="46"/>
  <c r="C2029" i="46"/>
  <c r="D2029" i="46"/>
  <c r="C2042" i="46"/>
  <c r="D2042" i="46"/>
  <c r="C2041" i="46"/>
  <c r="D2041" i="46"/>
  <c r="I2012" i="46"/>
  <c r="H2012" i="46"/>
  <c r="H2024" i="46"/>
  <c r="I2024" i="46"/>
  <c r="H2023" i="46"/>
  <c r="I2023" i="46"/>
  <c r="H2022" i="46"/>
  <c r="I2022" i="46"/>
  <c r="H2021" i="46"/>
  <c r="I2021" i="46"/>
  <c r="H2020" i="46"/>
  <c r="I2020" i="46"/>
  <c r="H2019" i="46"/>
  <c r="I2019" i="46"/>
  <c r="H2018" i="46"/>
  <c r="I2018" i="46"/>
  <c r="H2017" i="46"/>
  <c r="I2017" i="46"/>
  <c r="H2016" i="46"/>
  <c r="I2016" i="46"/>
  <c r="H2015" i="46"/>
  <c r="I2015" i="46"/>
  <c r="H2014" i="46"/>
  <c r="I2014" i="46"/>
  <c r="H2013" i="46"/>
  <c r="I2013" i="46"/>
  <c r="I2026" i="46"/>
  <c r="H2026" i="46"/>
  <c r="H2035" i="46"/>
  <c r="I2035" i="46"/>
  <c r="H2034" i="46"/>
  <c r="I2034" i="46"/>
  <c r="H2033" i="46"/>
  <c r="I2033" i="46"/>
  <c r="H2032" i="46"/>
  <c r="I2032" i="46"/>
  <c r="H2031" i="46"/>
  <c r="I2031" i="46"/>
  <c r="H2030" i="46"/>
  <c r="I2030" i="46"/>
  <c r="H2029" i="46"/>
  <c r="I2029" i="46"/>
  <c r="H2028" i="46"/>
  <c r="I2028" i="46"/>
  <c r="H2027" i="46"/>
  <c r="I2027" i="46"/>
  <c r="I2045" i="46"/>
  <c r="H2045" i="46"/>
  <c r="H2049" i="46"/>
  <c r="I2049" i="46"/>
  <c r="H2048" i="46"/>
  <c r="I2048" i="46"/>
  <c r="H2047" i="46"/>
  <c r="I2047" i="46"/>
  <c r="H2046" i="46"/>
  <c r="I2046" i="46"/>
  <c r="CK312" i="43"/>
  <c r="CK316" i="43" s="1"/>
  <c r="BY312" i="43"/>
  <c r="BY316" i="43" s="1"/>
  <c r="BZ312" i="43"/>
  <c r="BZ316" i="43" s="1"/>
  <c r="CJ316" i="43"/>
  <c r="CF316" i="43"/>
  <c r="CB316" i="43"/>
  <c r="CN316" i="43"/>
  <c r="CM316" i="43"/>
  <c r="CL316" i="43"/>
  <c r="CT316" i="43"/>
  <c r="CS316" i="43"/>
  <c r="CV312" i="43"/>
  <c r="CV316" i="43" s="1"/>
  <c r="BR239" i="46"/>
  <c r="BS239" i="46"/>
  <c r="BT239" i="46"/>
  <c r="BU239" i="46"/>
  <c r="BV239" i="46"/>
  <c r="BW239" i="46"/>
  <c r="BX239" i="46"/>
  <c r="BY239" i="46"/>
  <c r="BZ239" i="46"/>
  <c r="CA239" i="46"/>
  <c r="CB239" i="46"/>
  <c r="CC239" i="46"/>
  <c r="CD239" i="46"/>
  <c r="CE239" i="46"/>
  <c r="CF239" i="46"/>
  <c r="CG239" i="46"/>
  <c r="CH239" i="46"/>
  <c r="CI239" i="46"/>
  <c r="CJ239" i="46"/>
  <c r="CK239" i="46"/>
  <c r="CL239" i="46"/>
  <c r="CM239" i="46"/>
  <c r="CN239" i="46"/>
  <c r="CO239" i="46"/>
  <c r="BR274" i="46"/>
  <c r="BS274" i="46"/>
  <c r="BT274" i="46"/>
  <c r="BU274" i="46"/>
  <c r="BV274" i="46"/>
  <c r="BW274" i="46"/>
  <c r="BX274" i="46"/>
  <c r="BY274" i="46"/>
  <c r="BZ274" i="46"/>
  <c r="BZ286" i="46" s="1"/>
  <c r="CA274" i="46"/>
  <c r="CA286" i="46" s="1"/>
  <c r="CB274" i="46"/>
  <c r="CB286" i="46" s="1"/>
  <c r="CC274" i="46"/>
  <c r="CC286" i="46" s="1"/>
  <c r="CD274" i="46"/>
  <c r="CD286" i="46" s="1"/>
  <c r="CE274" i="46"/>
  <c r="CE286" i="46" s="1"/>
  <c r="CF274" i="46"/>
  <c r="CF286" i="46" s="1"/>
  <c r="CG274" i="46"/>
  <c r="CG286" i="46" s="1"/>
  <c r="CH274" i="46"/>
  <c r="CH286" i="46" s="1"/>
  <c r="CI274" i="46"/>
  <c r="CI286" i="46" s="1"/>
  <c r="CJ274" i="46"/>
  <c r="CJ286" i="46" s="1"/>
  <c r="CK274" i="46"/>
  <c r="CK286" i="46" s="1"/>
  <c r="CL274" i="46"/>
  <c r="CM274" i="46"/>
  <c r="CM286" i="46" s="1"/>
  <c r="CN274" i="46"/>
  <c r="CO274" i="46"/>
  <c r="BR286" i="46"/>
  <c r="BS286" i="46"/>
  <c r="BT286" i="46"/>
  <c r="BU286" i="46"/>
  <c r="BV286" i="46"/>
  <c r="BW286" i="46"/>
  <c r="BX286" i="46"/>
  <c r="BY286" i="46"/>
  <c r="CL286" i="46"/>
  <c r="CN286" i="46"/>
  <c r="CO286" i="46"/>
  <c r="J1029" i="46" l="1"/>
  <c r="J1030" i="46"/>
  <c r="D25" i="46"/>
  <c r="E2025" i="46"/>
  <c r="J1048" i="46"/>
  <c r="D54" i="49"/>
  <c r="D44" i="49"/>
  <c r="D11" i="49"/>
  <c r="C54" i="49" l="1"/>
  <c r="C44" i="49"/>
  <c r="C11" i="49"/>
  <c r="D65" i="49"/>
  <c r="D74" i="49" s="1"/>
  <c r="D104" i="49" s="1"/>
  <c r="C65" i="49" l="1"/>
  <c r="C74" i="49" s="1"/>
  <c r="C104" i="49" s="1"/>
  <c r="C8" i="43" l="1"/>
  <c r="C58" i="43" s="1"/>
  <c r="C10" i="43" l="1"/>
  <c r="C15" i="43"/>
  <c r="C52" i="43"/>
  <c r="E52" i="43" s="1"/>
  <c r="C53" i="43"/>
  <c r="C54" i="43"/>
  <c r="C55" i="43"/>
  <c r="C56" i="43"/>
  <c r="C57" i="43"/>
  <c r="C51" i="43"/>
  <c r="C32" i="43"/>
  <c r="C33" i="43"/>
  <c r="C34" i="43"/>
  <c r="C35" i="43"/>
  <c r="C36" i="43"/>
  <c r="C37" i="43"/>
  <c r="C38" i="43"/>
  <c r="C39" i="43"/>
  <c r="C40" i="43"/>
  <c r="C41" i="43"/>
  <c r="C42" i="43"/>
  <c r="C43" i="43"/>
  <c r="C44" i="43"/>
  <c r="C45" i="43"/>
  <c r="C46" i="43"/>
  <c r="C47" i="43"/>
  <c r="C48" i="43"/>
  <c r="C49" i="43"/>
  <c r="C31" i="43"/>
  <c r="C16" i="43"/>
  <c r="C17" i="43"/>
  <c r="C18" i="43"/>
  <c r="C19" i="43"/>
  <c r="C20" i="43"/>
  <c r="C21" i="43"/>
  <c r="C22" i="43"/>
  <c r="C23" i="43"/>
  <c r="C24" i="43"/>
  <c r="C25" i="43"/>
  <c r="C26" i="43"/>
  <c r="C27" i="43"/>
  <c r="C28" i="43"/>
  <c r="C29" i="43"/>
  <c r="C11" i="43"/>
  <c r="C12" i="43"/>
  <c r="C13" i="43"/>
  <c r="C70" i="43"/>
  <c r="C69" i="43"/>
  <c r="C67" i="43"/>
  <c r="C66" i="43"/>
  <c r="C59" i="43"/>
  <c r="C63" i="43"/>
  <c r="C62" i="43"/>
  <c r="C71" i="43"/>
  <c r="C72" i="43"/>
  <c r="H43" i="46"/>
  <c r="H8" i="46"/>
  <c r="C8" i="46"/>
  <c r="C14" i="43" l="1"/>
  <c r="E14" i="43" s="1"/>
  <c r="C10" i="46"/>
  <c r="C23" i="46"/>
  <c r="C22" i="46"/>
  <c r="C21" i="46"/>
  <c r="C20" i="46"/>
  <c r="C19" i="46"/>
  <c r="C18" i="46"/>
  <c r="C17" i="46"/>
  <c r="C15" i="46"/>
  <c r="C12" i="46"/>
  <c r="C11" i="46"/>
  <c r="C26" i="46"/>
  <c r="C37" i="46"/>
  <c r="C36" i="46"/>
  <c r="C35" i="46"/>
  <c r="C34" i="46"/>
  <c r="C33" i="46"/>
  <c r="C32" i="46"/>
  <c r="C31" i="46"/>
  <c r="C30" i="46"/>
  <c r="C29" i="46"/>
  <c r="C28" i="46"/>
  <c r="C27" i="46"/>
  <c r="C38" i="46"/>
  <c r="C41" i="46"/>
  <c r="C40" i="46"/>
  <c r="C39" i="46"/>
  <c r="C13" i="46"/>
  <c r="C16" i="46"/>
  <c r="C14" i="46"/>
  <c r="H10" i="46"/>
  <c r="H27" i="46"/>
  <c r="H26" i="46"/>
  <c r="H25" i="46"/>
  <c r="H24" i="46"/>
  <c r="H23" i="46"/>
  <c r="H22" i="46"/>
  <c r="H21" i="46"/>
  <c r="H20" i="46"/>
  <c r="H19" i="46"/>
  <c r="H18" i="46"/>
  <c r="H17" i="46"/>
  <c r="H16" i="46"/>
  <c r="H15" i="46"/>
  <c r="H14" i="46"/>
  <c r="H13" i="46"/>
  <c r="H12" i="46"/>
  <c r="H11" i="46"/>
  <c r="H50" i="46"/>
  <c r="H46" i="46"/>
  <c r="H47" i="46"/>
  <c r="H48" i="46"/>
  <c r="H49" i="46"/>
  <c r="H45" i="46"/>
  <c r="C9" i="43"/>
  <c r="D50" i="43"/>
  <c r="C50" i="43"/>
  <c r="E10" i="43"/>
  <c r="E11" i="43"/>
  <c r="E12" i="43"/>
  <c r="E13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1" i="43"/>
  <c r="E32" i="43"/>
  <c r="E33" i="43"/>
  <c r="E34" i="43"/>
  <c r="E35" i="43"/>
  <c r="E36" i="43"/>
  <c r="E37" i="43"/>
  <c r="E38" i="43"/>
  <c r="E39" i="43"/>
  <c r="E40" i="43"/>
  <c r="E41" i="43"/>
  <c r="E42" i="43"/>
  <c r="E43" i="43"/>
  <c r="E44" i="43"/>
  <c r="E45" i="43"/>
  <c r="E46" i="43"/>
  <c r="E47" i="43"/>
  <c r="E49" i="43"/>
  <c r="E67" i="43"/>
  <c r="E63" i="43"/>
  <c r="E62" i="43"/>
  <c r="E59" i="43"/>
  <c r="E53" i="43"/>
  <c r="E54" i="43"/>
  <c r="E55" i="43"/>
  <c r="E56" i="43"/>
  <c r="E57" i="43"/>
  <c r="E48" i="43"/>
  <c r="K10" i="35"/>
  <c r="K11" i="35"/>
  <c r="K12" i="35"/>
  <c r="K13" i="35"/>
  <c r="K14" i="35"/>
  <c r="K9" i="35"/>
  <c r="E51" i="43" l="1"/>
  <c r="C65" i="43"/>
  <c r="E66" i="43"/>
  <c r="C68" i="43"/>
  <c r="E69" i="43"/>
  <c r="E72" i="43"/>
  <c r="E71" i="43"/>
  <c r="E70" i="43"/>
  <c r="D68" i="43"/>
  <c r="D65" i="43"/>
  <c r="D30" i="43"/>
  <c r="C61" i="43"/>
  <c r="E9" i="43" l="1"/>
  <c r="D60" i="43"/>
  <c r="D64" i="43" s="1"/>
  <c r="E61" i="43"/>
  <c r="E68" i="43"/>
  <c r="E65" i="43"/>
  <c r="E50" i="43"/>
  <c r="C30" i="43"/>
  <c r="C60" i="43" s="1"/>
  <c r="E30" i="43" l="1"/>
  <c r="E60" i="43" l="1"/>
  <c r="C64" i="43"/>
  <c r="E64" i="43" s="1"/>
  <c r="J29" i="46" l="1"/>
  <c r="C9" i="46"/>
  <c r="C25" i="46"/>
  <c r="E26" i="46"/>
  <c r="H44" i="46"/>
  <c r="H51" i="46" s="1"/>
  <c r="J50" i="46"/>
  <c r="H1051" i="46"/>
  <c r="J1046" i="46"/>
  <c r="J2026" i="46"/>
  <c r="J2045" i="46"/>
  <c r="C1011" i="46"/>
  <c r="E1012" i="46"/>
  <c r="C1026" i="46"/>
  <c r="E1027" i="46"/>
  <c r="J1012" i="46"/>
  <c r="J1033" i="46"/>
  <c r="E2028" i="46"/>
  <c r="J2012" i="46"/>
  <c r="BR276" i="46"/>
  <c r="E10" i="46" l="1"/>
  <c r="E2042" i="46"/>
  <c r="E2041" i="46"/>
  <c r="J1031" i="46"/>
  <c r="J2035" i="46"/>
  <c r="E2013" i="46"/>
  <c r="J2013" i="46"/>
  <c r="E2014" i="46"/>
  <c r="J2014" i="46"/>
  <c r="E2015" i="46"/>
  <c r="J2015" i="46"/>
  <c r="E2016" i="46"/>
  <c r="J2016" i="46"/>
  <c r="E2017" i="46"/>
  <c r="J2017" i="46"/>
  <c r="E2018" i="46"/>
  <c r="J2018" i="46"/>
  <c r="E2019" i="46"/>
  <c r="J2019" i="46"/>
  <c r="E2020" i="46"/>
  <c r="J2020" i="46"/>
  <c r="E2021" i="46"/>
  <c r="J2021" i="46"/>
  <c r="E2022" i="46"/>
  <c r="J2022" i="46"/>
  <c r="E2023" i="46"/>
  <c r="J2023" i="46"/>
  <c r="E2024" i="46"/>
  <c r="J2024" i="46"/>
  <c r="E2029" i="46"/>
  <c r="E2030" i="46"/>
  <c r="E2031" i="46"/>
  <c r="E2032" i="46"/>
  <c r="E2033" i="46"/>
  <c r="J2027" i="46"/>
  <c r="E2034" i="46"/>
  <c r="J2028" i="46"/>
  <c r="E2035" i="46"/>
  <c r="J2029" i="46"/>
  <c r="E2036" i="46"/>
  <c r="J2030" i="46"/>
  <c r="E2037" i="46"/>
  <c r="J2031" i="46"/>
  <c r="E2038" i="46"/>
  <c r="J2032" i="46"/>
  <c r="E2039" i="46"/>
  <c r="J2033" i="46"/>
  <c r="E2040" i="46"/>
  <c r="J2034" i="46"/>
  <c r="J2046" i="46"/>
  <c r="J2047" i="46"/>
  <c r="J2048" i="46"/>
  <c r="J2049" i="46"/>
  <c r="J1034" i="46"/>
  <c r="J1035" i="46"/>
  <c r="J1036" i="46"/>
  <c r="J1037" i="46"/>
  <c r="J1038" i="46"/>
  <c r="J1039" i="46"/>
  <c r="J1040" i="46"/>
  <c r="J1041" i="46"/>
  <c r="J1042" i="46"/>
  <c r="H2011" i="46"/>
  <c r="I2011" i="46"/>
  <c r="C2027" i="46"/>
  <c r="E2012" i="46"/>
  <c r="D2011" i="46"/>
  <c r="C2011" i="46"/>
  <c r="H1032" i="46"/>
  <c r="H1011" i="46"/>
  <c r="I1011" i="46"/>
  <c r="C1025" i="46"/>
  <c r="H2050" i="46"/>
  <c r="H2025" i="46"/>
  <c r="D1011" i="46"/>
  <c r="E1011" i="46" s="1"/>
  <c r="D2027" i="46"/>
  <c r="D2026" i="46" s="1"/>
  <c r="I1032" i="46"/>
  <c r="I1051" i="46"/>
  <c r="E1013" i="46"/>
  <c r="E1014" i="46"/>
  <c r="E1015" i="46"/>
  <c r="E1016" i="46"/>
  <c r="E1017" i="46"/>
  <c r="E1018" i="46"/>
  <c r="E1019" i="46"/>
  <c r="E1020" i="46"/>
  <c r="E1021" i="46"/>
  <c r="E1022" i="46"/>
  <c r="E1023" i="46"/>
  <c r="E1024" i="46"/>
  <c r="E1028" i="46"/>
  <c r="E1029" i="46"/>
  <c r="E1030" i="46"/>
  <c r="E1031" i="46"/>
  <c r="E1032" i="46"/>
  <c r="E1033" i="46"/>
  <c r="E1034" i="46"/>
  <c r="E1035" i="46"/>
  <c r="E1036" i="46"/>
  <c r="E1037" i="46"/>
  <c r="E1038" i="46"/>
  <c r="E1039" i="46"/>
  <c r="J1049" i="46"/>
  <c r="J1050" i="46"/>
  <c r="J1013" i="46"/>
  <c r="J1014" i="46"/>
  <c r="J1015" i="46"/>
  <c r="J1016" i="46"/>
  <c r="J1017" i="46"/>
  <c r="J1018" i="46"/>
  <c r="J1019" i="46"/>
  <c r="J1020" i="46"/>
  <c r="J1021" i="46"/>
  <c r="J1022" i="46"/>
  <c r="J1023" i="46"/>
  <c r="J1024" i="46"/>
  <c r="J1025" i="46"/>
  <c r="J1026" i="46"/>
  <c r="J1027" i="46"/>
  <c r="J1028" i="46"/>
  <c r="J45" i="46"/>
  <c r="I44" i="46"/>
  <c r="J44" i="46" s="1"/>
  <c r="J49" i="46"/>
  <c r="J46" i="46"/>
  <c r="J47" i="46"/>
  <c r="J48" i="46"/>
  <c r="J39" i="46"/>
  <c r="J10" i="46"/>
  <c r="I9" i="46"/>
  <c r="J19" i="46"/>
  <c r="J21" i="46"/>
  <c r="J11" i="46"/>
  <c r="J12" i="46"/>
  <c r="J13" i="46"/>
  <c r="J14" i="46"/>
  <c r="J15" i="46"/>
  <c r="J16" i="46"/>
  <c r="J17" i="46"/>
  <c r="J18" i="46"/>
  <c r="J20" i="46"/>
  <c r="J22" i="46"/>
  <c r="J23" i="46"/>
  <c r="J24" i="46"/>
  <c r="J25" i="46"/>
  <c r="J26" i="46"/>
  <c r="C24" i="46"/>
  <c r="D9" i="46"/>
  <c r="E9" i="46" s="1"/>
  <c r="E27" i="46"/>
  <c r="E28" i="46"/>
  <c r="E29" i="46"/>
  <c r="E30" i="46"/>
  <c r="E31" i="46"/>
  <c r="E32" i="46"/>
  <c r="E33" i="46"/>
  <c r="E34" i="46"/>
  <c r="E35" i="46"/>
  <c r="E36" i="46"/>
  <c r="E37" i="46"/>
  <c r="E38" i="46"/>
  <c r="E39" i="46"/>
  <c r="E40" i="46"/>
  <c r="E41" i="46"/>
  <c r="E23" i="46"/>
  <c r="E11" i="46"/>
  <c r="E12" i="46"/>
  <c r="E13" i="46"/>
  <c r="E14" i="46"/>
  <c r="E15" i="46"/>
  <c r="E16" i="46"/>
  <c r="E17" i="46"/>
  <c r="E18" i="46"/>
  <c r="E19" i="46"/>
  <c r="E20" i="46"/>
  <c r="E21" i="46"/>
  <c r="E22" i="46"/>
  <c r="J1047" i="46"/>
  <c r="J40" i="46"/>
  <c r="H9" i="46"/>
  <c r="J27" i="46"/>
  <c r="H28" i="46"/>
  <c r="J38" i="46"/>
  <c r="J37" i="46"/>
  <c r="J36" i="46"/>
  <c r="J35" i="46"/>
  <c r="J34" i="46"/>
  <c r="J33" i="46"/>
  <c r="J32" i="46"/>
  <c r="J31" i="46"/>
  <c r="J30" i="46"/>
  <c r="I28" i="46"/>
  <c r="D1026" i="46"/>
  <c r="I2025" i="46"/>
  <c r="I2050" i="46"/>
  <c r="I51" i="46" l="1"/>
  <c r="J51" i="46" s="1"/>
  <c r="I41" i="46"/>
  <c r="J9" i="46"/>
  <c r="D2043" i="46"/>
  <c r="E2011" i="46"/>
  <c r="I2036" i="46"/>
  <c r="I2052" i="46" s="1"/>
  <c r="I1043" i="46"/>
  <c r="I1053" i="46" s="1"/>
  <c r="D1025" i="46"/>
  <c r="D1040" i="46" s="1"/>
  <c r="E1026" i="46"/>
  <c r="D24" i="46"/>
  <c r="D42" i="46" s="1"/>
  <c r="E25" i="46"/>
  <c r="H41" i="46"/>
  <c r="J28" i="46"/>
  <c r="C42" i="46"/>
  <c r="J1051" i="46"/>
  <c r="H2036" i="46"/>
  <c r="J2025" i="46"/>
  <c r="J2050" i="46"/>
  <c r="C1040" i="46"/>
  <c r="J1011" i="46"/>
  <c r="H1043" i="46"/>
  <c r="J1032" i="46"/>
  <c r="C2026" i="46"/>
  <c r="E2027" i="46"/>
  <c r="J2011" i="46"/>
  <c r="I53" i="46" l="1"/>
  <c r="J2036" i="46"/>
  <c r="E24" i="46"/>
  <c r="E42" i="46"/>
  <c r="E1025" i="46"/>
  <c r="E1040" i="46"/>
  <c r="H2052" i="46"/>
  <c r="J2052" i="46" s="1"/>
  <c r="E2026" i="46"/>
  <c r="C2043" i="46"/>
  <c r="E2043" i="46" s="1"/>
  <c r="J1043" i="46"/>
  <c r="H1053" i="46"/>
  <c r="J1053" i="46" s="1"/>
  <c r="J41" i="46"/>
  <c r="H53" i="46"/>
  <c r="BR421" i="46"/>
  <c r="BR432" i="46" s="1"/>
  <c r="BR442" i="46" s="1"/>
  <c r="J53" i="4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89F1BD-5B88-4761-9EAD-9944FFC1A772}" keepAlive="1" name="Consulta - dados_bp" description="Conexão com a consulta 'dados_bp' na pasta de trabalho." type="5" refreshedVersion="8" background="1" saveData="1">
    <dbPr connection="Provider=Microsoft.Mashup.OleDb.1;Data Source=$Workbook$;Location=dados_bp;Extended Properties=&quot;&quot;" command="SELECT * FROM [dados_bp]"/>
  </connection>
</connections>
</file>

<file path=xl/sharedStrings.xml><?xml version="1.0" encoding="utf-8"?>
<sst xmlns="http://schemas.openxmlformats.org/spreadsheetml/2006/main" count="2211" uniqueCount="860">
  <si>
    <t>DEMONSTRAÇÃO DO RESULTADO DO EXERCÍCIO</t>
  </si>
  <si>
    <t>CEMIG</t>
  </si>
  <si>
    <t>1T | 2026</t>
  </si>
  <si>
    <t>R$ mil (exceto lucro por ação)</t>
  </si>
  <si>
    <t>DRE</t>
  </si>
  <si>
    <t>∆%</t>
  </si>
  <si>
    <t>RECEITA LÍQUIDA</t>
  </si>
  <si>
    <t>CUSTOS E DESPESAS</t>
  </si>
  <si>
    <t>RESULTADO DE EQUIVALÊNCIA PATRIMONIAL</t>
  </si>
  <si>
    <t>LUCRO ANTES DO RESULTADO FINANCEIRO E TRIBUTOS</t>
  </si>
  <si>
    <t>RESULTADO FINANCEIRO</t>
  </si>
  <si>
    <t>Receitas financeiras</t>
  </si>
  <si>
    <t>Despesas financeiras</t>
  </si>
  <si>
    <t xml:space="preserve">LUCROS ANTES DO IMPOSTO DE RENDA E CONTRIBUIÇÃO SOCIAL </t>
  </si>
  <si>
    <t>IMPOSTO DE RENDA E CONTRIBUIÇÃO SOCIAL</t>
  </si>
  <si>
    <t>Imposto de renda e contribuição social</t>
  </si>
  <si>
    <t>Imposto de renda e contribuição social diferidos</t>
  </si>
  <si>
    <t>LUCRO LÍQUIDO</t>
  </si>
  <si>
    <t>Participação dos acionistas controladores</t>
  </si>
  <si>
    <t>Participação dos acionistas não-controladores</t>
  </si>
  <si>
    <t>LUCRO BÁSICO E DILUÍDO POR AÇÃO PREFERENCIAL</t>
  </si>
  <si>
    <t>LUCRO BÁSICO E DILUÍDO POR AÇÃO ORDINÁRIA</t>
  </si>
  <si>
    <t>4T | 2025</t>
  </si>
  <si>
    <t>Outros</t>
  </si>
  <si>
    <r>
      <t xml:space="preserve">DEMONSTRAÇÃO DO RESULTADO DO EXERCÍCIO | </t>
    </r>
    <r>
      <rPr>
        <b/>
        <sz val="16"/>
        <color theme="0"/>
        <rFont val="Arial"/>
        <family val="2"/>
      </rPr>
      <t>HISTÓRICO</t>
    </r>
  </si>
  <si>
    <t>R$ mil</t>
  </si>
  <si>
    <t>2T | 2026</t>
  </si>
  <si>
    <t>3T | 2025</t>
  </si>
  <si>
    <t>2T | 2025</t>
  </si>
  <si>
    <t>1T | 2025</t>
  </si>
  <si>
    <t>4T | 2024</t>
  </si>
  <si>
    <t>3T | 2024</t>
  </si>
  <si>
    <t>2T | 2024</t>
  </si>
  <si>
    <t>1T | 2024</t>
  </si>
  <si>
    <t>4T | 2023</t>
  </si>
  <si>
    <t>3T | 2023</t>
  </si>
  <si>
    <t>2T | 2023</t>
  </si>
  <si>
    <t>1T | 2023</t>
  </si>
  <si>
    <t>4T | 2022</t>
  </si>
  <si>
    <t>3T | 2022</t>
  </si>
  <si>
    <t>2T | 2022</t>
  </si>
  <si>
    <t>1T | 2022</t>
  </si>
  <si>
    <t>4T | 2021</t>
  </si>
  <si>
    <t>3T | 2021</t>
  </si>
  <si>
    <t>2T | 2021</t>
  </si>
  <si>
    <t>1T | 2021</t>
  </si>
  <si>
    <t>4T | 2020</t>
  </si>
  <si>
    <t>3T | 2020</t>
  </si>
  <si>
    <t>2T | 2020</t>
  </si>
  <si>
    <t>1T | 2020</t>
  </si>
  <si>
    <t>Fornecimento bruto de energia elétrica</t>
  </si>
  <si>
    <t>Receita de uso dos sistemas elétricos de distribuição – TUSD</t>
  </si>
  <si>
    <t>CVA e outros componentes financeiros</t>
  </si>
  <si>
    <t>Restituição de créditos de PIS/Pasep e Cofins aos consumidores - Realização</t>
  </si>
  <si>
    <t>Receita de transmissão</t>
  </si>
  <si>
    <t>Receita de operação e manutenção</t>
  </si>
  <si>
    <t>Receita de construção e melhoria</t>
  </si>
  <si>
    <t>Remuneração financeira do ativo de contrato da transmissão</t>
  </si>
  <si>
    <t>Receita de indenização da geração</t>
  </si>
  <si>
    <t>Receita de construção de distribuição</t>
  </si>
  <si>
    <t>Ajuste de expectativa do fluxo de caixa do ativo financeiro indenizável da concessão de distribuição</t>
  </si>
  <si>
    <t>Receita de atualização financeira da bonificação pela outorga</t>
  </si>
  <si>
    <t>Liquidação na CCEE</t>
  </si>
  <si>
    <t>Transações no mecanismo de venda de excedentes - MVE</t>
  </si>
  <si>
    <t>Fornecimento de gás</t>
  </si>
  <si>
    <t>Compensação por violação de padrão indicador de continuidade</t>
  </si>
  <si>
    <t>Receita por antecipação de prestação de serviço</t>
  </si>
  <si>
    <t>Créditos de PIS/Pasep e Cofins a restituir a consumidores</t>
  </si>
  <si>
    <t>Outras receitas</t>
  </si>
  <si>
    <t>Tributos e encargos incidentes sobre a receita</t>
  </si>
  <si>
    <t>Energia elétrica comprada para revenda</t>
  </si>
  <si>
    <t>Encargos de uso da rede básica</t>
  </si>
  <si>
    <t>Gás comprado para revenda</t>
  </si>
  <si>
    <t>Custos de construção de infraestrutura</t>
  </si>
  <si>
    <t>Pessoal (reversões)</t>
  </si>
  <si>
    <t>Participação dos empregados e administradores no resultado</t>
  </si>
  <si>
    <t>Obrigações pós-emprego (reversões)</t>
  </si>
  <si>
    <t>Materiais</t>
  </si>
  <si>
    <t>Serviços de terceiros</t>
  </si>
  <si>
    <t>Depreciação e amortização</t>
  </si>
  <si>
    <t>Provisões (reversões)</t>
  </si>
  <si>
    <t>Perda por redução ao valor recuperável</t>
  </si>
  <si>
    <t>Perdas de créditos esperadas</t>
  </si>
  <si>
    <t>Perda esperada com outros créditos</t>
  </si>
  <si>
    <t>Provisão de perda esperada com parte relacionada</t>
  </si>
  <si>
    <t>Baixa de ativo financeiro</t>
  </si>
  <si>
    <t>Reversão de provisão com parte relacionada</t>
  </si>
  <si>
    <t>Remensuração RBSE</t>
  </si>
  <si>
    <t>Outros custos e despesas</t>
  </si>
  <si>
    <t xml:space="preserve">Outras receitas </t>
  </si>
  <si>
    <t>Ganho na alienação de imobilizados</t>
  </si>
  <si>
    <t>Ganho na alienação de intangíveis</t>
  </si>
  <si>
    <t>Ganho na alienação de investimentos</t>
  </si>
  <si>
    <t>Ganho por compra vantajosa</t>
  </si>
  <si>
    <t>Ganho de Capital</t>
  </si>
  <si>
    <t>Ajuste a valor justo da participação anterior</t>
  </si>
  <si>
    <t>Resultado da Revisão Tarifária Periódica</t>
  </si>
  <si>
    <r>
      <t>IMPOSTO DE RENDA E CONTRIBUIÇÃO SOCIAL</t>
    </r>
    <r>
      <rPr>
        <sz val="11"/>
        <color theme="0"/>
        <rFont val="Arial"/>
        <family val="2"/>
      </rPr>
      <t>.</t>
    </r>
  </si>
  <si>
    <t>CEMIG D</t>
  </si>
  <si>
    <t>Fornecimento bruto de energia elétrica e receita de uso da rede - consumidores cativos</t>
  </si>
  <si>
    <t>Receita de uso da rede - consumidores livres</t>
  </si>
  <si>
    <t>Ativos e passivos financeiros setoriais líquidos</t>
  </si>
  <si>
    <t>Receita de construção de infraestrutura de distribuição</t>
  </si>
  <si>
    <t>Ajuste de expectativa do fluxo de caixa do ativo financeiro indenizável da concessão</t>
  </si>
  <si>
    <t>Transações no Mecanismo de Venda de Excedentes</t>
  </si>
  <si>
    <t>Outras receitas operacionais</t>
  </si>
  <si>
    <t>Tributos e encargos incidentes sobre as receitas</t>
  </si>
  <si>
    <t>Encargos de uso da rede básica de transmissão e demais encargos do sistema</t>
  </si>
  <si>
    <t>Custo de construção da infraestrutura de distribuição</t>
  </si>
  <si>
    <t>Pessoal</t>
  </si>
  <si>
    <t>Participação de empregados e administradores no resultado</t>
  </si>
  <si>
    <t>Obrigações pós-emprego</t>
  </si>
  <si>
    <t>Amortização</t>
  </si>
  <si>
    <t>Amortização direito de uso - arrendamento</t>
  </si>
  <si>
    <t>Provisões para contingências</t>
  </si>
  <si>
    <t>Outras despesas</t>
  </si>
  <si>
    <t>LUCRO BÁSICO E DILUÍDO POR AÇÃO</t>
  </si>
  <si>
    <t>CEMIG GT</t>
  </si>
  <si>
    <t>Fornecimento bruto de energia elétrica - com impostos</t>
  </si>
  <si>
    <t>Receita de construção</t>
  </si>
  <si>
    <t>Receita de atualização da bonificação pela outorga</t>
  </si>
  <si>
    <t>Encargos de uso da rede básica de transmissão</t>
  </si>
  <si>
    <t>Custo de construção da transmissão</t>
  </si>
  <si>
    <t>Participação dos empregados no resultado</t>
  </si>
  <si>
    <t>Obrigações Pós-emprego</t>
  </si>
  <si>
    <t>Reversão de provisão com partes relacionadas</t>
  </si>
  <si>
    <t>Reversão de perda esperada com parte relacionada - Renova</t>
  </si>
  <si>
    <t>Opção de venda - SAAG</t>
  </si>
  <si>
    <t>Perda (reversão) por redução ao valor recuperável</t>
  </si>
  <si>
    <t>Ajuste a valor justo de ativo financeiro</t>
  </si>
  <si>
    <t>Outros custos e despesas (reversões)</t>
  </si>
  <si>
    <t xml:space="preserve">Ganho na alienação de imobilizados </t>
  </si>
  <si>
    <t>Ganho de capital</t>
  </si>
  <si>
    <t>Revisão Tarifária Periódica, liquida</t>
  </si>
  <si>
    <t>,</t>
  </si>
  <si>
    <t>EBITDA</t>
  </si>
  <si>
    <t>EBITDA - 4T | 2025</t>
  </si>
  <si>
    <t>Geração</t>
  </si>
  <si>
    <t>Transmissão</t>
  </si>
  <si>
    <t>Comercialização</t>
  </si>
  <si>
    <t>Distribuição</t>
  </si>
  <si>
    <t>Gás</t>
  </si>
  <si>
    <t>Holding</t>
  </si>
  <si>
    <t>Total</t>
  </si>
  <si>
    <t>EBITDA conforme “Resolução CVM 156”</t>
  </si>
  <si>
    <t>Lucro líquido</t>
  </si>
  <si>
    <t>Resultado financeiro</t>
  </si>
  <si>
    <t>Efeitos não recorrentes e não caixa</t>
  </si>
  <si>
    <t>Lucro líquido atribuído a acionistas não-controladores</t>
  </si>
  <si>
    <t>Remensuração do passivo de pós-emprego</t>
  </si>
  <si>
    <t>Programa de desligamento voluntário</t>
  </si>
  <si>
    <t>Ganho por remensuração de participação anterior</t>
  </si>
  <si>
    <t>EBITDA AJUSTADO</t>
  </si>
  <si>
    <r>
      <rPr>
        <b/>
        <sz val="22"/>
        <color theme="0"/>
        <rFont val="Arial"/>
        <family val="2"/>
      </rPr>
      <t>EBITDA |</t>
    </r>
    <r>
      <rPr>
        <b/>
        <sz val="20"/>
        <color theme="0"/>
        <rFont val="Arial"/>
        <family val="2"/>
      </rPr>
      <t xml:space="preserve"> </t>
    </r>
    <r>
      <rPr>
        <b/>
        <sz val="16"/>
        <color theme="0"/>
        <rFont val="Arial"/>
        <family val="2"/>
      </rPr>
      <t>HISTÓRICO</t>
    </r>
  </si>
  <si>
    <t>.</t>
  </si>
  <si>
    <t>Programa de desligamento voluntário programado</t>
  </si>
  <si>
    <t>VNR</t>
  </si>
  <si>
    <t>EBITDA AJUSTADO MENOS VNR</t>
  </si>
  <si>
    <t>RESULTADO FINANCEIRO LÍQUIDO</t>
  </si>
  <si>
    <r>
      <t xml:space="preserve">RESULTADO FINANCEIRO | </t>
    </r>
    <r>
      <rPr>
        <b/>
        <sz val="16"/>
        <color theme="0"/>
        <rFont val="Arial"/>
        <family val="2"/>
      </rPr>
      <t>HISTÓRICO</t>
    </r>
  </si>
  <si>
    <t>RECEITAS FINANCEIRAS</t>
  </si>
  <si>
    <t>Renda de aplicação financeira</t>
  </si>
  <si>
    <t>Acréscimos moratórios sobre venda de energia</t>
  </si>
  <si>
    <t>Variações cambiais – Itaipu Binacional</t>
  </si>
  <si>
    <t>Variações cambiais – Empréstimos</t>
  </si>
  <si>
    <t>Variação monetária</t>
  </si>
  <si>
    <t>Variação monetária – CVA</t>
  </si>
  <si>
    <t>Ganhos com instrumentos financeiros - Swap</t>
  </si>
  <si>
    <t>Variação monetária de depósitos vinculados a litígios</t>
  </si>
  <si>
    <t>PIS/Pasep e Cofins incidente sobre as receitas financeiras</t>
  </si>
  <si>
    <t>Rendas de antecipação de pagamento</t>
  </si>
  <si>
    <t>Encargos de créditos com partes relacionadas</t>
  </si>
  <si>
    <t>Atualização dos créditos de PIS/Pasep e Cofins sobre ICMS</t>
  </si>
  <si>
    <t>Atualização crédito IRPJ sobre PAT</t>
  </si>
  <si>
    <t>Outras receitas financeiras</t>
  </si>
  <si>
    <t>DESPESAS FINANCEIRAS</t>
  </si>
  <si>
    <t>Encargos de debêntures</t>
  </si>
  <si>
    <t>Amortização do custo de transação</t>
  </si>
  <si>
    <t>Variação cambial de empréstimo, líquido de derivativo</t>
  </si>
  <si>
    <t>Variação Cambial - Eurobond</t>
  </si>
  <si>
    <t>Ágio na recompra de títulos de dívida (Eurobonds)</t>
  </si>
  <si>
    <t>Variação cambiais - Debêntures</t>
  </si>
  <si>
    <t>Variação monetária – Debêntures</t>
  </si>
  <si>
    <t>Variação monetária – Concessão onerosa</t>
  </si>
  <si>
    <t>Encargos e variação monetária de obrigação pós-emprego</t>
  </si>
  <si>
    <t>Perdas com instrumentos financeiros - Swap</t>
  </si>
  <si>
    <t>Atualização PIS/Pasep e Cofins a restituir aos consumidores</t>
  </si>
  <si>
    <t>Variação monetária de arrendamento</t>
  </si>
  <si>
    <t>Despesas financeiras P&amp;D e PEE</t>
  </si>
  <si>
    <t>Outras despesas financeiras</t>
  </si>
  <si>
    <t>PIS/Pasep e Cofins incidentes sobre receitas financeiras</t>
  </si>
  <si>
    <t>Acréscimos moratórios de contas de energia</t>
  </si>
  <si>
    <t>Variações cambiais de empréstimos e financiamentos</t>
  </si>
  <si>
    <t>Variações cambiais de Itaipu</t>
  </si>
  <si>
    <t>Variações monetárias</t>
  </si>
  <si>
    <t>Variação monetária depósitos judiciais</t>
  </si>
  <si>
    <t>Variação monetária de empréstimos e debêntures</t>
  </si>
  <si>
    <t>Variação monetária - CVA</t>
  </si>
  <si>
    <t>Atualização dos créditos de PIS/Pasep e Cofins</t>
  </si>
  <si>
    <t>Outras</t>
  </si>
  <si>
    <t>Encargos de variação monetária - Forluz</t>
  </si>
  <si>
    <t>Variação monetária de debêntures</t>
  </si>
  <si>
    <t>Atualização PIS/Pasep e Cofins a restituir</t>
  </si>
  <si>
    <t>Variação monetária de P&amp;D e PEE</t>
  </si>
  <si>
    <t>Variação monetária de arrendamentos</t>
  </si>
  <si>
    <t>Atualização estimada de créditos de GD, líquida</t>
  </si>
  <si>
    <t>Outras variações monetárias</t>
  </si>
  <si>
    <t>Variação monetária – Empréstimos, financiamentos e debêntures</t>
  </si>
  <si>
    <t>Variação monetária/depósitos vinculados a litígios</t>
  </si>
  <si>
    <t>Variações cambiais de empréstimos</t>
  </si>
  <si>
    <t>Ganhos com inst. financeiros derivativos</t>
  </si>
  <si>
    <t>PIS/Pasep e Cofins sobre receitas financeiras</t>
  </si>
  <si>
    <t>Encargos de empréstimos e debêntures</t>
  </si>
  <si>
    <t>Amortização dos custos de transação</t>
  </si>
  <si>
    <t>Variação monetária – Forluz</t>
  </si>
  <si>
    <t>Variação monetária – Empréstimos e debêntures</t>
  </si>
  <si>
    <t>-</t>
  </si>
  <si>
    <t>Variação cambial de empréstimos, líquida de derivativos</t>
  </si>
  <si>
    <t>Perdas com instrumentos financeiros derivativos swap</t>
  </si>
  <si>
    <t>DRE POR SEGMENTO</t>
  </si>
  <si>
    <t>Energia elétrica</t>
  </si>
  <si>
    <t>Participações / Holding</t>
  </si>
  <si>
    <t>Eliminações (1)</t>
  </si>
  <si>
    <t>Consolidado</t>
  </si>
  <si>
    <t>Intersegmentos</t>
  </si>
  <si>
    <t>Terceiros</t>
  </si>
  <si>
    <t>CUSTOS COM ENERGIA ELÉRICA E GÁS</t>
  </si>
  <si>
    <t>CUSTOS, DESPESAS E OUTRAS RECEITAS (2)</t>
  </si>
  <si>
    <t>Materiais, serviços de terceiros e outras despesas, líquidas</t>
  </si>
  <si>
    <t>Provisões e ajustes para perdas operacionais</t>
  </si>
  <si>
    <t>RESULTADO ANTES DO RESULTADO FINANCEIRO E TRIBUTOS</t>
  </si>
  <si>
    <t>RESULTADO ANTES DOS TRIBUTOS</t>
  </si>
  <si>
    <t>LUCRO LÍQUIDO DO PERÍODO</t>
  </si>
  <si>
    <t>BALANÇO PATRIMONIAL</t>
  </si>
  <si>
    <t>dez | 2025</t>
  </si>
  <si>
    <t>ATIVO</t>
  </si>
  <si>
    <t>PASSIVO</t>
  </si>
  <si>
    <t>CIRCULANTE</t>
  </si>
  <si>
    <t>NÃO CIRCULANTE</t>
  </si>
  <si>
    <t>Realizável a longo prazo</t>
  </si>
  <si>
    <t>TOTAL DO PASSIVO</t>
  </si>
  <si>
    <t>TOTAL DO ATIVO</t>
  </si>
  <si>
    <t>PATRIMÔNIO LÍQUIDO</t>
  </si>
  <si>
    <t>TOTAL DO PATRIMÔNIO LÍQUIDO</t>
  </si>
  <si>
    <t>PASSIVO + PATRIMÔNIO LÍQUIDO</t>
  </si>
  <si>
    <r>
      <rPr>
        <b/>
        <sz val="22"/>
        <color theme="0"/>
        <rFont val="Arial"/>
        <family val="2"/>
      </rPr>
      <t>BALANÇO PATRIMONIAL |</t>
    </r>
    <r>
      <rPr>
        <b/>
        <sz val="20"/>
        <color theme="0"/>
        <rFont val="Arial"/>
        <family val="2"/>
      </rPr>
      <t xml:space="preserve"> </t>
    </r>
    <r>
      <rPr>
        <b/>
        <sz val="16"/>
        <color theme="0"/>
        <rFont val="Arial"/>
        <family val="2"/>
      </rPr>
      <t>HISTÓRICO</t>
    </r>
  </si>
  <si>
    <t>jun | 2026</t>
  </si>
  <si>
    <t>mar | 2026</t>
  </si>
  <si>
    <t>set | 2025</t>
  </si>
  <si>
    <t>jun | 2025</t>
  </si>
  <si>
    <t>mar | 2025</t>
  </si>
  <si>
    <t>dez | 2024</t>
  </si>
  <si>
    <t>set | 2024</t>
  </si>
  <si>
    <t>jun | 2024</t>
  </si>
  <si>
    <t>mar | 2024</t>
  </si>
  <si>
    <t>dez | 2023</t>
  </si>
  <si>
    <t>set | 2023</t>
  </si>
  <si>
    <t>jun | 2023</t>
  </si>
  <si>
    <t>mar | 2023</t>
  </si>
  <si>
    <t>dez | 2022</t>
  </si>
  <si>
    <t>set | 2022</t>
  </si>
  <si>
    <t>jun | 2022</t>
  </si>
  <si>
    <t>mar | 2022</t>
  </si>
  <si>
    <t>dez | 2021</t>
  </si>
  <si>
    <t>set | 2021</t>
  </si>
  <si>
    <t>jun | 2021</t>
  </si>
  <si>
    <t>mar | 2021</t>
  </si>
  <si>
    <t>dez | 2020</t>
  </si>
  <si>
    <t>set | 2020</t>
  </si>
  <si>
    <t>jun | 2020</t>
  </si>
  <si>
    <t>mar | 2020</t>
  </si>
  <si>
    <t>Caixa e equivalentes de caixa</t>
  </si>
  <si>
    <t>Títulos e valores mobiliários</t>
  </si>
  <si>
    <t>Consumidores, revendedores e concessionários de transporte de energia</t>
  </si>
  <si>
    <t>Ativos financeiros e setoriais da concessão</t>
  </si>
  <si>
    <t>Ativos de contrato</t>
  </si>
  <si>
    <t>Tributos a recuperar</t>
  </si>
  <si>
    <t>Imposto de renda e contribuição social a recuperar</t>
  </si>
  <si>
    <t>Instrumentos financeiros derivativos</t>
  </si>
  <si>
    <t>Dividendos a receber</t>
  </si>
  <si>
    <t>Fundos vinculados</t>
  </si>
  <si>
    <t>Contribuição de iluminação pública</t>
  </si>
  <si>
    <t>Reembolso subsídios tarifários</t>
  </si>
  <si>
    <t>Outros ativos</t>
  </si>
  <si>
    <t>Ativos classificados como mantidos para venda</t>
  </si>
  <si>
    <t>Impostos de renda e contribuição social diferidos</t>
  </si>
  <si>
    <t xml:space="preserve">Depósitos vinculados a litígios </t>
  </si>
  <si>
    <t>Depósitos vinculados a litígios</t>
  </si>
  <si>
    <t>Instrumentos financeiros derivativos - Swap</t>
  </si>
  <si>
    <t>Contas a receber do Estado de Minas Gerais</t>
  </si>
  <si>
    <t>Investimentos</t>
  </si>
  <si>
    <t>Imobilizado</t>
  </si>
  <si>
    <t>Intangível</t>
  </si>
  <si>
    <t>Direito de uso</t>
  </si>
  <si>
    <t>Fornecedores</t>
  </si>
  <si>
    <t>Encargos regulatórios</t>
  </si>
  <si>
    <t>Impostos, taxas e contribuições</t>
  </si>
  <si>
    <t>Juros sobre capital próprio e dividendos a pagar</t>
  </si>
  <si>
    <t>Debêntures</t>
  </si>
  <si>
    <t>Salários e contribuições sociais</t>
  </si>
  <si>
    <t>Obrigações relacionadas a energia gerada por consumidores</t>
  </si>
  <si>
    <t>Indenização compensatória</t>
  </si>
  <si>
    <t>Indenização Compensatória</t>
  </si>
  <si>
    <t>Passivo financeiro da concessão</t>
  </si>
  <si>
    <t>Valores a restituir a consumidores</t>
  </si>
  <si>
    <t>Passivo de arrendamento</t>
  </si>
  <si>
    <t>Outros passivos</t>
  </si>
  <si>
    <t>Debêntures e empréstimos</t>
  </si>
  <si>
    <t>Provisões</t>
  </si>
  <si>
    <t>Atribuível aos acionistas da empresa controladora</t>
  </si>
  <si>
    <t>Capital social</t>
  </si>
  <si>
    <t>Reservas de capital</t>
  </si>
  <si>
    <t>Reservas de lucros</t>
  </si>
  <si>
    <t>Ajustes de avaliação patrimonial</t>
  </si>
  <si>
    <t>Lucros acumulados</t>
  </si>
  <si>
    <t>Atribuível aos acionistas não controladores</t>
  </si>
  <si>
    <t>Consumidores e revendedores</t>
  </si>
  <si>
    <t>Concessionários - transporte de energia</t>
  </si>
  <si>
    <t>Estoques</t>
  </si>
  <si>
    <t>Subvenção baixa renda</t>
  </si>
  <si>
    <t>Ativos setoriais da concessão</t>
  </si>
  <si>
    <t>Ativos financeiros relacionados à infraestrutura</t>
  </si>
  <si>
    <t>Salários e encargos sociais</t>
  </si>
  <si>
    <t>Participação dos colaboradores e administradores no resultado</t>
  </si>
  <si>
    <t>Mútuo com partes relacionadas</t>
  </si>
  <si>
    <t>Obrigações relacionadas à energia gerada por consumidores</t>
  </si>
  <si>
    <t>Passivos setoriais da concessão</t>
  </si>
  <si>
    <t>Valores a pagar a partes relacionadas</t>
  </si>
  <si>
    <t>Arrendamentos - obrigações</t>
  </si>
  <si>
    <t>Adiantamento para futuro aumento de capital </t>
  </si>
  <si>
    <t>Ativo financeiro da concessão</t>
  </si>
  <si>
    <t>Adiantamento a fornecedores</t>
  </si>
  <si>
    <t>Prêmio repactuação risco hidrológico</t>
  </si>
  <si>
    <t>Instrumentos financeiros - Opção de venda</t>
  </si>
  <si>
    <t>Passivo de arrendamentos</t>
  </si>
  <si>
    <t>Opções de venda</t>
  </si>
  <si>
    <t>Adiantamento para futuro aumento de capital</t>
  </si>
  <si>
    <t>DEMONSTRAÇÃO DO FLUXO DE CAIXA</t>
  </si>
  <si>
    <t>FLUXO DE CAIXA DAS ATIVIDADES OPERACIONAIS</t>
  </si>
  <si>
    <t>FLUXO DE CAIXA DAS ATIVIDADES DE INVESTIMENTO</t>
  </si>
  <si>
    <t>FLUXO DE CAIXA DAS ATIVIDADES DE FINANCIAMENTO</t>
  </si>
  <si>
    <t>TOTAL DOS EFEITOS NO CAIXA E EQUIVALENTES DE CAIXA</t>
  </si>
  <si>
    <t>VARIAÇÃO LÍQUIDA DO CAIXA E EQUIVALENTES DE CAIXA</t>
  </si>
  <si>
    <r>
      <t xml:space="preserve">DEMONSTRAÇÃO DO FLUXO DE CAIXA | </t>
    </r>
    <r>
      <rPr>
        <b/>
        <sz val="16"/>
        <color theme="0"/>
        <rFont val="Arial"/>
        <family val="2"/>
      </rPr>
      <t>HISTÓRICO</t>
    </r>
  </si>
  <si>
    <t>CONCILIAÇÃO DO LUCRO COM O CAIXA GERADO NAS OPERAÇÕES</t>
  </si>
  <si>
    <t>Imposto de renda e contribuição social corrente e diferido</t>
  </si>
  <si>
    <t>Impostos de renda e contribuição social corrente e diferido</t>
  </si>
  <si>
    <t>Baixa de valor residual líquido de ativos de contrato, ativos financeiros da concessão, imobilizado e intangível</t>
  </si>
  <si>
    <t>Ganho na alienação de imobilizados e intangíveis</t>
  </si>
  <si>
    <t>Reembolso de subsídios tarifários</t>
  </si>
  <si>
    <t>Remensuração da Rede Básica do Sistema Existente (RBSE)</t>
  </si>
  <si>
    <t>Ajuste de valor justo de ativo financeiro</t>
  </si>
  <si>
    <t>Ajuste de ativos em curso</t>
  </si>
  <si>
    <t>Ágio na recompra de eurobonds</t>
  </si>
  <si>
    <t>Resultado de equivalência patrimonial</t>
  </si>
  <si>
    <t>Ajuste na expectativa do fluxo de caixa dos ativos financeiros e de contrato da concessão</t>
  </si>
  <si>
    <t>Juros e variações monetárias</t>
  </si>
  <si>
    <t>Variação cambial de empréstimos</t>
  </si>
  <si>
    <t>Restituição de créditos de PIS/Pasep e Cofins aos consumidores</t>
  </si>
  <si>
    <t>Reversão de valores a restituir a consumidores</t>
  </si>
  <si>
    <t>Amortização de custos de transação de empréstimos</t>
  </si>
  <si>
    <t>Conta de compensação de variação de valores de itens da “Parcela A” (CVA) e outros componentes financeiros</t>
  </si>
  <si>
    <t>Perda por redução ao valor recuperável de ativos de contrato e intangível</t>
  </si>
  <si>
    <t>Ganhos com repactuação do risco hidrológico - Lei 14.052/20, líquido</t>
  </si>
  <si>
    <t>Redução ao valor recuperável de ativos mantidos para venda</t>
  </si>
  <si>
    <t>Efeitos da revisão tarifária periódica da RAP</t>
  </si>
  <si>
    <t>Ganho na alienação de ativo mantido para venda</t>
  </si>
  <si>
    <t>(AUMENTO) REDUÇÃO DE ATIVOS</t>
  </si>
  <si>
    <t>Consumidores, revendedores e concessionários de energia</t>
  </si>
  <si>
    <t>Conta de compensação de variação de valores de itens da "Parcela A" (CVA) e outros componentes financeiros</t>
  </si>
  <si>
    <t>Ativos de contrato e financeiros da concessão</t>
  </si>
  <si>
    <t>AUMENTO (REDUÇÃO) DE PASSIVOS</t>
  </si>
  <si>
    <t>Imposto de renda e contribuição social a pagar</t>
  </si>
  <si>
    <t>Contribuições pagas de benefícios pós-emprego</t>
  </si>
  <si>
    <t>Contas a pagar relacionadas a energia gerada por consumidores</t>
  </si>
  <si>
    <t>PIS/Pasep e Cofins a ser restituído a consumidores</t>
  </si>
  <si>
    <t>CAIXA GERADO PELAS ATIVIDADES OPERACIONAIS</t>
  </si>
  <si>
    <t>Juros recebidos</t>
  </si>
  <si>
    <t>Dividendos e JCP recebidos</t>
  </si>
  <si>
    <t>Juros sobre debêntures pagos</t>
  </si>
  <si>
    <t>Juros sobre arrendamentos pagos</t>
  </si>
  <si>
    <t>Imposto de renda e contribuição social pagos</t>
  </si>
  <si>
    <t>Liquidação de instrumentos financeiros derivativos</t>
  </si>
  <si>
    <t>CAIXA LÍQUIDO GERADO PELAS ATIVIDADES OPERACIONAIS</t>
  </si>
  <si>
    <t>Aplicações em títulos e valores mobiliários</t>
  </si>
  <si>
    <t>Resgates de títulos e valores mobiliários</t>
  </si>
  <si>
    <t>Aplicações em fundos vinculados</t>
  </si>
  <si>
    <t>Resgates de fundos vinculados</t>
  </si>
  <si>
    <t>Aporte em investidas</t>
  </si>
  <si>
    <t>Alienação de investimentos</t>
  </si>
  <si>
    <t>Alienação de ativos intangíveis</t>
  </si>
  <si>
    <t>Redução de capital social em investida</t>
  </si>
  <si>
    <t>Liquidação opção de venda</t>
  </si>
  <si>
    <t>Caixa oriundo de combinação de negócios</t>
  </si>
  <si>
    <t>Adição em imobilizado</t>
  </si>
  <si>
    <t>Adição em intangível</t>
  </si>
  <si>
    <t>Adição em ativos de contrato – Infraestrutura de distribuição e gás</t>
  </si>
  <si>
    <t>Aquisição de controladas, líquida de caixa</t>
  </si>
  <si>
    <t>CAIXA LÍQUIDO CONSUMIDO PELAS ATIVIDADES DE INVESTIMENTO</t>
  </si>
  <si>
    <t>Captação de debêntures, líquidas</t>
  </si>
  <si>
    <t>Juros sobre capital próprio e dividendos pagos</t>
  </si>
  <si>
    <t>Pagamentos de debêntures</t>
  </si>
  <si>
    <t>Arrendamentos pagos</t>
  </si>
  <si>
    <t>CAIXA LÍQUIDO GERADO (CONSUMIDO) PELAS ATIVIDADES DE FINANCIAMENTO</t>
  </si>
  <si>
    <t>Caixa e equivalentes de caixa no início do período</t>
  </si>
  <si>
    <t>Caixa e equivalentes de caixa no final do período</t>
  </si>
  <si>
    <t>AJUSTES</t>
  </si>
  <si>
    <t>Valor residual líquido de ativos financeiros da concessão e intangível baixados</t>
  </si>
  <si>
    <t>Ajuste de expectativa do fluxo de caixa do ativo financeiro da concessão</t>
  </si>
  <si>
    <t>Tributos compensáveis</t>
  </si>
  <si>
    <t>Contribuições pagas de pós-emprego</t>
  </si>
  <si>
    <t>Indenizações Compensatórias Pagas</t>
  </si>
  <si>
    <t>Provisões pagas</t>
  </si>
  <si>
    <t>Contas a pagar relacionado a energia gerada por consumidores</t>
  </si>
  <si>
    <t>Juros de debêntures pagos</t>
  </si>
  <si>
    <t>Juros de arrendamento pagos</t>
  </si>
  <si>
    <t>Aplicações em Títulos e Valores Mobiliários</t>
  </si>
  <si>
    <t>Resgate de Títulos e Valores Mobiliários</t>
  </si>
  <si>
    <t>Captação de debêntures líquidas</t>
  </si>
  <si>
    <t>Pagamento de arrendamento</t>
  </si>
  <si>
    <t>Pagamento de empréstimos e debêntures</t>
  </si>
  <si>
    <t xml:space="preserve">Baixas de valor residual líquido de ativos financeiros da concessão, ativos de contrato, imobilizado e intangível </t>
  </si>
  <si>
    <t>Equivalência patrimonial</t>
  </si>
  <si>
    <t xml:space="preserve">Juros e variações monetárias </t>
  </si>
  <si>
    <t>Provisões para contingências e perdas de créditos esperadas</t>
  </si>
  <si>
    <t>Variação do valor justo de instrumentos financeiros derivativos</t>
  </si>
  <si>
    <t>Dividendos recebidos</t>
  </si>
  <si>
    <t>Ativos financeiros da concessão e ativos de contrato</t>
  </si>
  <si>
    <t xml:space="preserve">Outros </t>
  </si>
  <si>
    <t>Provisões para contingências pagas</t>
  </si>
  <si>
    <t>Juros de debêntures e empréstimos pagos</t>
  </si>
  <si>
    <t>Juros pagos de arrendamentos</t>
  </si>
  <si>
    <t>Adição em Imobilizado</t>
  </si>
  <si>
    <t>Adição em Intangível</t>
  </si>
  <si>
    <t>Resgates de Títulos e Valores Mobiliários</t>
  </si>
  <si>
    <t>Empréstimos obtidos e captação de debêntures, líquidas</t>
  </si>
  <si>
    <t>Pagamentos de arrendamentos</t>
  </si>
  <si>
    <t>ENDIVIDAMENTO</t>
  </si>
  <si>
    <t>AMORTIZAÇÃO DA DÍVIDA</t>
  </si>
  <si>
    <t>2031 em diante</t>
  </si>
  <si>
    <t>TOTAL</t>
  </si>
  <si>
    <t>Moedas</t>
  </si>
  <si>
    <t>Dólar Norte-Americano</t>
  </si>
  <si>
    <t>Total por moedas</t>
  </si>
  <si>
    <t>Indexadores </t>
  </si>
  <si>
    <t>IPCA</t>
  </si>
  <si>
    <t>CDI</t>
  </si>
  <si>
    <t>Total por indexadores </t>
  </si>
  <si>
    <t>(-) Custos de transação </t>
  </si>
  <si>
    <t>(-) Desconto</t>
  </si>
  <si>
    <t>FINANCIADORES</t>
  </si>
  <si>
    <t>Vencimento principal</t>
  </si>
  <si>
    <t>Encargos financeiros atuais</t>
  </si>
  <si>
    <t>Circulante</t>
  </si>
  <si>
    <t>Não circulante</t>
  </si>
  <si>
    <t>EMPRÉSTIMOS</t>
  </si>
  <si>
    <t>Cemig Geração e Transmissão</t>
  </si>
  <si>
    <t>Empréstimos</t>
  </si>
  <si>
    <t>SOFR+0,53%</t>
  </si>
  <si>
    <t>USD</t>
  </si>
  <si>
    <t>DEBÊNTURES</t>
  </si>
  <si>
    <t>Cemig Distribuição</t>
  </si>
  <si>
    <t xml:space="preserve">  Debêntures - 7ª Emissão - 2ª Série</t>
  </si>
  <si>
    <t>IPCA + 4,10%</t>
  </si>
  <si>
    <t>R$</t>
  </si>
  <si>
    <t xml:space="preserve">  Debêntures - 8ª Emissão - 1ª Série</t>
  </si>
  <si>
    <t>CDI + 1,35%</t>
  </si>
  <si>
    <t xml:space="preserve">  Debêntures - 8ª Emissão - 2ª Série</t>
  </si>
  <si>
    <t>IPCA + 6,1052%</t>
  </si>
  <si>
    <t xml:space="preserve">  Debêntures - 9ª Emissão - Série Única</t>
  </si>
  <si>
    <t>CDI + 2,05%</t>
  </si>
  <si>
    <t xml:space="preserve">  Debêntures - 10ª emissão - 1ª série</t>
  </si>
  <si>
    <t>CDI + 0,80%</t>
  </si>
  <si>
    <t xml:space="preserve">  Debêntures - 10ª emissão - 2ª série</t>
  </si>
  <si>
    <t>IPCA + 6,1469%</t>
  </si>
  <si>
    <t xml:space="preserve">  Debêntures - 11ª emissão - 1ª série</t>
  </si>
  <si>
    <t>CDI + 0,55%</t>
  </si>
  <si>
    <t xml:space="preserve">  Debêntures - 11ª emissão - 2ª série</t>
  </si>
  <si>
    <t>IPCA + 6,5769%</t>
  </si>
  <si>
    <t xml:space="preserve">  Debêntures - 12ª emissão - 1ª série</t>
  </si>
  <si>
    <t>CDI + 0,86%</t>
  </si>
  <si>
    <t xml:space="preserve">  Debêntures - 12ª emissão - 2ª série</t>
  </si>
  <si>
    <t>IPCA + 7,5467%</t>
  </si>
  <si>
    <t xml:space="preserve">  Debêntures - 13ª emissão - 1ª série</t>
  </si>
  <si>
    <t>CDI+0,64%</t>
  </si>
  <si>
    <t xml:space="preserve">  Debêntures - 13ª emissão - 2ª série</t>
  </si>
  <si>
    <t>CDI+0,80%</t>
  </si>
  <si>
    <t xml:space="preserve">  Debêntures - 14ª emissão - 1ª série</t>
  </si>
  <si>
    <t>IPCA+6,7878%</t>
  </si>
  <si>
    <t xml:space="preserve">  Debêntures - 14ª emissão - 2ª série</t>
  </si>
  <si>
    <t>IPCA+6,6504%</t>
  </si>
  <si>
    <t>Gasmig</t>
  </si>
  <si>
    <t xml:space="preserve">  Debêntures - 8ª emissão - Série única</t>
  </si>
  <si>
    <t>IPCA + 5,27%</t>
  </si>
  <si>
    <t>CDI + 0,47%</t>
  </si>
  <si>
    <t>Debêntures - 10ª Emissão - Série Única</t>
  </si>
  <si>
    <t>IPCA+6,50%</t>
  </si>
  <si>
    <t xml:space="preserve">  Debêntures - 9ª Emissão - 1ª Série</t>
  </si>
  <si>
    <t>CDI + 1,33%</t>
  </si>
  <si>
    <t xml:space="preserve">  Debêntures - 9ª Emissão - 2ª Série</t>
  </si>
  <si>
    <t>IPCA + 7,6245%</t>
  </si>
  <si>
    <t xml:space="preserve">  Debêntures - 10ª Emissão - Série Única</t>
  </si>
  <si>
    <t>CDI + 0,64%</t>
  </si>
  <si>
    <t xml:space="preserve">  Debêntures - 11ª Emissão - 1ª Série</t>
  </si>
  <si>
    <t xml:space="preserve">  Debêntures - 11ª Emissão - 2ª Série</t>
  </si>
  <si>
    <t>(-) Deságio na emissão de debêntures (1)</t>
  </si>
  <si>
    <t>(-) Custos de Transação</t>
  </si>
  <si>
    <t>TOTAL CONSOLIDADO</t>
  </si>
  <si>
    <t>(1) Deságio no preço de venda da 2ª série da 7ª emissão da Cemig Distribuição.</t>
  </si>
  <si>
    <r>
      <t xml:space="preserve">ENDIVIDAMENTO | </t>
    </r>
    <r>
      <rPr>
        <b/>
        <sz val="16"/>
        <color theme="0"/>
        <rFont val="Arial"/>
        <family val="2"/>
      </rPr>
      <t>HISTÓRICO</t>
    </r>
  </si>
  <si>
    <t>DÍVIDA BRUTA</t>
  </si>
  <si>
    <t>Total de empréstimos</t>
  </si>
  <si>
    <t>Dívida em moeda estrangeira</t>
  </si>
  <si>
    <t>Dívida em moeda nacional</t>
  </si>
  <si>
    <t>Total de debêntures</t>
  </si>
  <si>
    <t>DÍVIDA LÍQUIDA</t>
  </si>
  <si>
    <t xml:space="preserve">Caixa e equivalentes </t>
  </si>
  <si>
    <t>TVM</t>
  </si>
  <si>
    <t>Instrumento derivativo de hedge (1)</t>
  </si>
  <si>
    <t>(1) Valor justo</t>
  </si>
  <si>
    <t>INVESTIMENTOS</t>
  </si>
  <si>
    <t>Cemig Sim</t>
  </si>
  <si>
    <r>
      <rPr>
        <b/>
        <sz val="22"/>
        <color theme="0"/>
        <rFont val="Arial"/>
        <family val="2"/>
      </rPr>
      <t>INVESTIMENTOS |</t>
    </r>
    <r>
      <rPr>
        <b/>
        <sz val="16"/>
        <color theme="0"/>
        <rFont val="Arial"/>
        <family val="2"/>
      </rPr>
      <t xml:space="preserve"> HISTÓRICO</t>
    </r>
  </si>
  <si>
    <t>USINAS</t>
  </si>
  <si>
    <t>GERAÇÃO CENTRALIZADA</t>
  </si>
  <si>
    <t>Empresa</t>
  </si>
  <si>
    <t>Potência Cemig (MW)</t>
  </si>
  <si>
    <t>Garantia Física Cemig (MW)</t>
  </si>
  <si>
    <t>Fim da Concessão</t>
  </si>
  <si>
    <t>Participação</t>
  </si>
  <si>
    <t>Usinas de participação total</t>
  </si>
  <si>
    <t>Hídrica</t>
  </si>
  <si>
    <t>Emborcação</t>
  </si>
  <si>
    <t>Nova Ponte</t>
  </si>
  <si>
    <t>Irapé</t>
  </si>
  <si>
    <t>Três Marias</t>
  </si>
  <si>
    <t>Salto Grande</t>
  </si>
  <si>
    <t>Queimado*</t>
  </si>
  <si>
    <t>Sá Carvalho</t>
  </si>
  <si>
    <t>Sá Carvalho S.A</t>
  </si>
  <si>
    <t>Rosal</t>
  </si>
  <si>
    <t>Rosal Energia S. A</t>
  </si>
  <si>
    <t>Itutinga</t>
  </si>
  <si>
    <t>CEMIG G. ITUTINGA</t>
  </si>
  <si>
    <t>Camargos</t>
  </si>
  <si>
    <t>CEMIG G. CAMARGOS</t>
  </si>
  <si>
    <t>Poço Fundo</t>
  </si>
  <si>
    <t>CEMIG PCH  S.A</t>
  </si>
  <si>
    <t>Piau</t>
  </si>
  <si>
    <t>CEMIG G. SUL</t>
  </si>
  <si>
    <t>Gafanhoto</t>
  </si>
  <si>
    <t>CEMIG G. OESTE</t>
  </si>
  <si>
    <t>Peti</t>
  </si>
  <si>
    <t>CEMIG G. LESTE</t>
  </si>
  <si>
    <t>Tronqueiras</t>
  </si>
  <si>
    <t>Joasal</t>
  </si>
  <si>
    <t>Cajuru</t>
  </si>
  <si>
    <t>Ervália</t>
  </si>
  <si>
    <t>Neblina</t>
  </si>
  <si>
    <t>Cel. Domiciano</t>
  </si>
  <si>
    <t>Paraúna</t>
  </si>
  <si>
    <t>Inexistente</t>
  </si>
  <si>
    <t>Paciência</t>
  </si>
  <si>
    <t>Dona Rita</t>
  </si>
  <si>
    <t>Indeterminado</t>
  </si>
  <si>
    <t>Solar</t>
  </si>
  <si>
    <t>Boa Esperança</t>
  </si>
  <si>
    <t>Três Marias Jusante</t>
  </si>
  <si>
    <t>Central Mineirão</t>
  </si>
  <si>
    <t>Cemig GT</t>
  </si>
  <si>
    <t>Eólica</t>
  </si>
  <si>
    <t>Volta do Rio</t>
  </si>
  <si>
    <t>Praias de Parajuru</t>
  </si>
  <si>
    <t>Usinas de participação parcial</t>
  </si>
  <si>
    <t>Belo Monte</t>
  </si>
  <si>
    <t>Norte</t>
  </si>
  <si>
    <t>Cachoeirão</t>
  </si>
  <si>
    <t>Hidrelétrica Cachoeirão</t>
  </si>
  <si>
    <t>Paracambi</t>
  </si>
  <si>
    <t>Lightger</t>
  </si>
  <si>
    <t>Pipoca</t>
  </si>
  <si>
    <t>Hidrelétrica Pipoca</t>
  </si>
  <si>
    <t>Dores de Guanhães</t>
  </si>
  <si>
    <t>Ganhães Energia</t>
  </si>
  <si>
    <t>Senhora do Porto</t>
  </si>
  <si>
    <t>Fortuna II</t>
  </si>
  <si>
    <t>Jacaré</t>
  </si>
  <si>
    <r>
      <rPr>
        <b/>
        <sz val="14"/>
        <color rgb="FF17772E"/>
        <rFont val="Arial"/>
        <family val="2"/>
      </rPr>
      <t>SUBTOTAL</t>
    </r>
    <r>
      <rPr>
        <b/>
        <sz val="12"/>
        <color rgb="FF17772E"/>
        <rFont val="Arial"/>
        <family val="2"/>
      </rPr>
      <t xml:space="preserve"> | </t>
    </r>
    <r>
      <rPr>
        <b/>
        <sz val="11"/>
        <color rgb="FF17772E"/>
        <rFont val="Arial"/>
        <family val="2"/>
      </rPr>
      <t>GERAÇÃO CENTRALIZADA</t>
    </r>
  </si>
  <si>
    <t>GERAÇÃO DISTRIBUÍDA</t>
  </si>
  <si>
    <t>Cemig SIM</t>
  </si>
  <si>
    <t>Santa Barbara I e II</t>
  </si>
  <si>
    <t>Jequitibá I</t>
  </si>
  <si>
    <t>Jequitibá II</t>
  </si>
  <si>
    <t>Santa Isabel I e II</t>
  </si>
  <si>
    <t>Lagoa 1 e 2</t>
  </si>
  <si>
    <t>Prudente de Morais</t>
  </si>
  <si>
    <t>Brasilândia</t>
  </si>
  <si>
    <t>Evandro Junqueira I e II</t>
  </si>
  <si>
    <t>Lagoa Grande</t>
  </si>
  <si>
    <t>Caeté I</t>
  </si>
  <si>
    <t>Hera</t>
  </si>
  <si>
    <t>Campo do Cemitério 1 e 2</t>
  </si>
  <si>
    <t>Retiro I e II</t>
  </si>
  <si>
    <t>São Gonçalo do Pará</t>
  </si>
  <si>
    <t>Jovissema II</t>
  </si>
  <si>
    <t>Lopes</t>
  </si>
  <si>
    <t>Dos Marques</t>
  </si>
  <si>
    <t>DUCEU (Montes Claros)</t>
  </si>
  <si>
    <t>Mato Verde</t>
  </si>
  <si>
    <t>Porteirinha II</t>
  </si>
  <si>
    <t>Porteirinha I</t>
  </si>
  <si>
    <t>Campo Lindo 1</t>
  </si>
  <si>
    <t>Campo Lindo 2</t>
  </si>
  <si>
    <t>Olaria 1</t>
  </si>
  <si>
    <t>Olaria 2</t>
  </si>
  <si>
    <t>Apolo 1</t>
  </si>
  <si>
    <t>Apolo 2</t>
  </si>
  <si>
    <t>Mirabela</t>
  </si>
  <si>
    <t>Mina 3</t>
  </si>
  <si>
    <t>Angueretá 1</t>
  </si>
  <si>
    <t>Angueretá 2</t>
  </si>
  <si>
    <t>Três Marias GD</t>
  </si>
  <si>
    <r>
      <rPr>
        <b/>
        <sz val="14"/>
        <color rgb="FF17772E"/>
        <rFont val="Arial"/>
        <family val="2"/>
      </rPr>
      <t>SUBTOTAL</t>
    </r>
    <r>
      <rPr>
        <b/>
        <sz val="12"/>
        <color rgb="FF17772E"/>
        <rFont val="Arial"/>
        <family val="2"/>
      </rPr>
      <t xml:space="preserve"> | </t>
    </r>
    <r>
      <rPr>
        <b/>
        <sz val="11"/>
        <color rgb="FF17772E"/>
        <rFont val="Arial"/>
        <family val="2"/>
      </rPr>
      <t>GERAÇÃO DISTRIBUÍDA</t>
    </r>
  </si>
  <si>
    <t>* A Usina Queimado é uma exceção na listagem, considerada de participação total mesmo com 82,5% de posse.</t>
  </si>
  <si>
    <t>BALANÇO DE ENERGIA</t>
  </si>
  <si>
    <t>RECURSOS TOTAIS</t>
  </si>
  <si>
    <t>GWh</t>
  </si>
  <si>
    <t>REQUISITOS TOTAIS</t>
  </si>
  <si>
    <t>Energia Produzida</t>
  </si>
  <si>
    <t>Energia comercializadora</t>
  </si>
  <si>
    <t>Geração Própria</t>
  </si>
  <si>
    <t>Energia Empresas Coligadas</t>
  </si>
  <si>
    <t>Perdas - Rede de Distribuição</t>
  </si>
  <si>
    <t>Perdas Geração Rede Básica</t>
  </si>
  <si>
    <t>Perdas - Rede Básica</t>
  </si>
  <si>
    <t>Energia Comprada</t>
  </si>
  <si>
    <t>Itaipu</t>
  </si>
  <si>
    <r>
      <t xml:space="preserve">Compra no MRE </t>
    </r>
    <r>
      <rPr>
        <sz val="8"/>
        <color theme="1"/>
        <rFont val="Arial"/>
        <family val="2"/>
      </rPr>
      <t>(2)</t>
    </r>
  </si>
  <si>
    <t>Compra na CCEE</t>
  </si>
  <si>
    <t>Contratos Bilaterais</t>
  </si>
  <si>
    <t>CCEN</t>
  </si>
  <si>
    <t>CCGF</t>
  </si>
  <si>
    <t>Compreende o balanço de energia do grupo Cemig, empresas integrais: Cemig D, Cemig GT, CEMIG Holding, Cemig PCH, Horizontes, Rosal, Sá Carvalho, Trading, e SPE's. Exclui transações entre as empresas .</t>
  </si>
  <si>
    <t>Energia comprada</t>
  </si>
  <si>
    <r>
      <t>Mercado Faturado</t>
    </r>
    <r>
      <rPr>
        <sz val="11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(8)</t>
    </r>
  </si>
  <si>
    <r>
      <t>Perdas - Rede de Distribuição</t>
    </r>
    <r>
      <rPr>
        <sz val="11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(9)</t>
    </r>
  </si>
  <si>
    <t>PROINFA</t>
  </si>
  <si>
    <r>
      <t xml:space="preserve">Contratos Bilaterais </t>
    </r>
    <r>
      <rPr>
        <sz val="8"/>
        <color theme="1"/>
        <rFont val="Arial"/>
        <family val="2"/>
      </rPr>
      <t>(6)</t>
    </r>
  </si>
  <si>
    <t>Contrato Compra Energia Nuclear</t>
  </si>
  <si>
    <t>Contrato Cota Garantia Fisica</t>
  </si>
  <si>
    <t>Vendas na CCEE</t>
  </si>
  <si>
    <r>
      <t xml:space="preserve">Compra Injetada Diretamente na Rede de Distribuição </t>
    </r>
    <r>
      <rPr>
        <sz val="8"/>
        <color theme="1"/>
        <rFont val="Arial"/>
        <family val="2"/>
      </rPr>
      <t>(7)</t>
    </r>
  </si>
  <si>
    <t>Vendas MCSD/MVE</t>
  </si>
  <si>
    <t>Geração - Centro de Gravidade</t>
  </si>
  <si>
    <t>Energia Comercializada</t>
  </si>
  <si>
    <t>Cemig</t>
  </si>
  <si>
    <t>Vendas no ACR e Leilão de ajuste</t>
  </si>
  <si>
    <t>Contratos de Compra</t>
  </si>
  <si>
    <t>Consumo Varejista</t>
  </si>
  <si>
    <t>Vendas no MRE</t>
  </si>
  <si>
    <t>Contratos na CCEE</t>
  </si>
  <si>
    <t>Vendas às Cooperativas</t>
  </si>
  <si>
    <t>Cotas de garantia física</t>
  </si>
  <si>
    <t>Compra MRE</t>
  </si>
  <si>
    <t>(1) Contratos de Comercialização de Energia no Ambiente Regulado - CCEAR e Leilão de Ajuste.</t>
  </si>
  <si>
    <t>(2) Mecanismo de Realocação de Energia - MRE.</t>
  </si>
  <si>
    <t>(3) Geração injetada diretamente na Rede de Distribuição (Micro e Mini GD).</t>
  </si>
  <si>
    <t>(4) Programa de incentivo às fontes alternativas de energia - PROINFA.</t>
  </si>
  <si>
    <t>(5) Compra de Energia  Elétrica pela CEMIG D por meio de CCEAR e Leilão de Ajuste.</t>
  </si>
  <si>
    <t>(6) Energia Contratada pela CEMIG D de forma bilateral com a UHE Ponte de Pedra e UHE Capim Branco.</t>
  </si>
  <si>
    <t>(7) Compra de Energia não modelada na CCEE e outras injeções (incluindo micro geração distribuída).</t>
  </si>
  <si>
    <t>(8) Considera a energia compesada pela Micro e Mini GD e o mês de referência é o de leitura.</t>
  </si>
  <si>
    <t>(9) Perdas técnicas e não técnicas atribuídas ao mercado cativo e a energia transportada na rede de distribuição.</t>
  </si>
  <si>
    <t>VENDAS DE ENERGIA POR CLASSE DE CONSUMO</t>
  </si>
  <si>
    <r>
      <rPr>
        <b/>
        <sz val="20"/>
        <color theme="0"/>
        <rFont val="Arial"/>
        <family val="2"/>
      </rPr>
      <t>CEMIG</t>
    </r>
    <r>
      <rPr>
        <b/>
        <sz val="14"/>
        <color theme="0"/>
        <rFont val="Arial"/>
        <family val="2"/>
      </rPr>
      <t xml:space="preserve">
Classes de consumo</t>
    </r>
  </si>
  <si>
    <t>MWh</t>
  </si>
  <si>
    <t>R$ (milhares)</t>
  </si>
  <si>
    <t>Preço médio faturado (R$/MWh)</t>
  </si>
  <si>
    <r>
      <rPr>
        <b/>
        <sz val="12"/>
        <color theme="0"/>
        <rFont val="Aptos Narrow"/>
        <family val="2"/>
      </rPr>
      <t>∆</t>
    </r>
    <r>
      <rPr>
        <b/>
        <sz val="10.199999999999999"/>
        <color theme="0"/>
        <rFont val="Arial"/>
        <family val="2"/>
      </rPr>
      <t>%</t>
    </r>
  </si>
  <si>
    <t>Residencial </t>
  </si>
  <si>
    <t>Industrial </t>
  </si>
  <si>
    <t>Comércio, serviços e outros </t>
  </si>
  <si>
    <t>Rural </t>
  </si>
  <si>
    <t>Poder público </t>
  </si>
  <si>
    <t>Iluminação pública </t>
  </si>
  <si>
    <t>Serviço público </t>
  </si>
  <si>
    <t>Subtotal </t>
  </si>
  <si>
    <t>Consumo Próprio </t>
  </si>
  <si>
    <t>Fornecimento não faturado líquido </t>
  </si>
  <si>
    <t>Suprimento a outras concessionárias</t>
  </si>
  <si>
    <t>Suprimento não faturado líquido </t>
  </si>
  <si>
    <r>
      <t xml:space="preserve">VENDA DE ENERGIA POR CLASSE DE CONSUMO | </t>
    </r>
    <r>
      <rPr>
        <b/>
        <sz val="16"/>
        <color theme="0"/>
        <rFont val="Arial"/>
        <family val="2"/>
      </rPr>
      <t>HISTÓRICO</t>
    </r>
  </si>
  <si>
    <r>
      <rPr>
        <b/>
        <sz val="18"/>
        <color theme="0"/>
        <rFont val="Arial"/>
        <family val="2"/>
      </rPr>
      <t>CEMIG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Classes de consumo | MWh</t>
    </r>
  </si>
  <si>
    <r>
      <rPr>
        <b/>
        <sz val="18"/>
        <color theme="0"/>
        <rFont val="Arial"/>
        <family val="2"/>
      </rPr>
      <t>CEMIG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Classes de consumo</t>
    </r>
    <r>
      <rPr>
        <b/>
        <sz val="14"/>
        <color theme="0"/>
        <rFont val="Arial"/>
        <family val="2"/>
      </rPr>
      <t xml:space="preserve"> | R$ </t>
    </r>
    <r>
      <rPr>
        <b/>
        <sz val="12"/>
        <color theme="0"/>
        <rFont val="Arial"/>
        <family val="2"/>
      </rPr>
      <t>(mil)</t>
    </r>
  </si>
  <si>
    <r>
      <rPr>
        <b/>
        <sz val="18"/>
        <color theme="0"/>
        <rFont val="Arial"/>
        <family val="2"/>
      </rPr>
      <t>CEMIG D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Classes de consumo | MWh</t>
    </r>
  </si>
  <si>
    <t>Residencial</t>
  </si>
  <si>
    <t>Industrial</t>
  </si>
  <si>
    <t>Mercado cativo</t>
  </si>
  <si>
    <t>Transporte</t>
  </si>
  <si>
    <t>Comércio, Serviços e Outros</t>
  </si>
  <si>
    <t>Rural</t>
  </si>
  <si>
    <t>Serviços públicos</t>
  </si>
  <si>
    <t>Concessionárias</t>
  </si>
  <si>
    <t>Consumo próprio</t>
  </si>
  <si>
    <t>TOTAL | Mercado cativo</t>
  </si>
  <si>
    <t>TOTAL | Transporte clientes livres</t>
  </si>
  <si>
    <t>TOTAL SEM GD</t>
  </si>
  <si>
    <t>GD1 Compensada</t>
  </si>
  <si>
    <t>GD2 e GD3 Compensada</t>
  </si>
  <si>
    <t>TOTAL GD</t>
  </si>
  <si>
    <t>TOTAL DO MERCADO</t>
  </si>
  <si>
    <r>
      <rPr>
        <b/>
        <sz val="18"/>
        <color theme="0"/>
        <rFont val="Arial"/>
        <family val="2"/>
      </rPr>
      <t>CEMIG D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Classes de consumo</t>
    </r>
    <r>
      <rPr>
        <b/>
        <sz val="14"/>
        <color theme="0"/>
        <rFont val="Arial"/>
        <family val="2"/>
      </rPr>
      <t xml:space="preserve"> | R$ </t>
    </r>
    <r>
      <rPr>
        <b/>
        <sz val="12"/>
        <color theme="0"/>
        <rFont val="Arial"/>
        <family val="2"/>
      </rPr>
      <t>(mil)</t>
    </r>
  </si>
  <si>
    <t>TOTAL | Transporte clientes livres*</t>
  </si>
  <si>
    <t>* Não possui detalhamento de classes de consumo.</t>
  </si>
  <si>
    <r>
      <rPr>
        <b/>
        <sz val="18"/>
        <color theme="0"/>
        <rFont val="Arial"/>
        <family val="2"/>
      </rPr>
      <t>CEMIG GT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Classes de consumo | MWh</t>
    </r>
  </si>
  <si>
    <t>Comercial</t>
  </si>
  <si>
    <t>Poder Público</t>
  </si>
  <si>
    <t>Fornec. não faturado, líquido</t>
  </si>
  <si>
    <t>Suprim. outras concessionárias</t>
  </si>
  <si>
    <t>Suprim. não faturado líquido</t>
  </si>
  <si>
    <r>
      <rPr>
        <b/>
        <sz val="18"/>
        <color theme="0"/>
        <rFont val="Arial"/>
        <family val="2"/>
      </rPr>
      <t>CEMIG GT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Classes de consumo</t>
    </r>
    <r>
      <rPr>
        <b/>
        <sz val="14"/>
        <color theme="0"/>
        <rFont val="Arial"/>
        <family val="2"/>
      </rPr>
      <t xml:space="preserve"> | R$ </t>
    </r>
    <r>
      <rPr>
        <b/>
        <sz val="12"/>
        <color theme="0"/>
        <rFont val="Arial"/>
        <family val="2"/>
      </rPr>
      <t>(mil)</t>
    </r>
  </si>
  <si>
    <r>
      <rPr>
        <b/>
        <sz val="20"/>
        <color theme="0"/>
        <rFont val="Arial"/>
        <family val="2"/>
      </rPr>
      <t>CEMIG D</t>
    </r>
    <r>
      <rPr>
        <b/>
        <sz val="14"/>
        <color theme="0"/>
        <rFont val="Arial"/>
        <family val="2"/>
      </rPr>
      <t xml:space="preserve">
Classes de consumo</t>
    </r>
  </si>
  <si>
    <t>Total sem GD</t>
  </si>
  <si>
    <t>Total GD</t>
  </si>
  <si>
    <r>
      <rPr>
        <b/>
        <sz val="20"/>
        <color theme="0"/>
        <rFont val="Arial"/>
        <family val="2"/>
      </rPr>
      <t>CEMIG GT</t>
    </r>
    <r>
      <rPr>
        <b/>
        <sz val="14"/>
        <color theme="0"/>
        <rFont val="Arial"/>
        <family val="2"/>
      </rPr>
      <t xml:space="preserve">
Classes de consumo</t>
    </r>
  </si>
  <si>
    <t>ENERGIA COMPRADA PARA REVENDA</t>
  </si>
  <si>
    <t>Energia de Itaipu Binacional</t>
  </si>
  <si>
    <t>Contratos por cotas de garantia física</t>
  </si>
  <si>
    <t>Cotas das usinas de Angra I e II</t>
  </si>
  <si>
    <t>Energia de curto prazo</t>
  </si>
  <si>
    <t>Proinfa</t>
  </si>
  <si>
    <t>Contratos bilaterais</t>
  </si>
  <si>
    <t>Energia adquirida através de leilão em ambiente regulado</t>
  </si>
  <si>
    <t>Energia adquirida no ambiente livre</t>
  </si>
  <si>
    <t>Geração distribuída</t>
  </si>
  <si>
    <t>Créditos de PIS/Pasep e Cofins</t>
  </si>
  <si>
    <r>
      <t xml:space="preserve">ENERGIA COMPRADA PARA REVENDA | </t>
    </r>
    <r>
      <rPr>
        <b/>
        <sz val="16"/>
        <color theme="0"/>
        <rFont val="Arial"/>
        <family val="2"/>
      </rPr>
      <t>HISTÓRICO</t>
    </r>
  </si>
  <si>
    <t>RECEITA ANUAL PERMITIDA - RAP</t>
  </si>
  <si>
    <t>Contrato de concessão</t>
  </si>
  <si>
    <t>Índice reajuste</t>
  </si>
  <si>
    <t xml:space="preserve"> RAP</t>
  </si>
  <si>
    <t>Parcela de Ajuste</t>
  </si>
  <si>
    <t>Vencimento</t>
  </si>
  <si>
    <t xml:space="preserve">Cemig GT </t>
  </si>
  <si>
    <t>006/97</t>
  </si>
  <si>
    <t>079/00</t>
  </si>
  <si>
    <t>Centroeste</t>
  </si>
  <si>
    <t>004/05</t>
  </si>
  <si>
    <t>Sete Lagoas</t>
  </si>
  <si>
    <t>006/11</t>
  </si>
  <si>
    <t>Taesa (21,68% participação Cemig)</t>
  </si>
  <si>
    <t>TOTAL RAP</t>
  </si>
  <si>
    <t xml:space="preserve">2025-2026 </t>
  </si>
  <si>
    <t xml:space="preserve">2026-2027 </t>
  </si>
  <si>
    <t xml:space="preserve">2027-2028 </t>
  </si>
  <si>
    <t xml:space="preserve">2028-2029 </t>
  </si>
  <si>
    <t xml:space="preserve">2029 até 2033 </t>
  </si>
  <si>
    <t>Econômico</t>
  </si>
  <si>
    <t>Financeiro</t>
  </si>
  <si>
    <t>*Os valores da indenização RBSE fazem parte da RAP Cemig (primeira tabela).</t>
  </si>
  <si>
    <t>DADOS REGULATÓRIOS | CEMIG D</t>
  </si>
  <si>
    <t>Revisões Tarifárias</t>
  </si>
  <si>
    <t>Taxa média de depreciação</t>
  </si>
  <si>
    <t>WACC (real após impostos)</t>
  </si>
  <si>
    <t>Remuneração das Obrigações Especiais</t>
  </si>
  <si>
    <t>CAIMI R$</t>
  </si>
  <si>
    <t>QRR R$ - Depreciação (Base Bruta x taxa dep)</t>
  </si>
  <si>
    <t>Link documento</t>
  </si>
  <si>
    <t>NT__CEMIG.pdf</t>
  </si>
  <si>
    <t>NT 12 2023 RTP Cemig.pdf</t>
  </si>
  <si>
    <t>Reajuste Tarifário de Maio/2026</t>
  </si>
  <si>
    <t>Baixa tensão</t>
  </si>
  <si>
    <t>Alta tensão</t>
  </si>
  <si>
    <t>Efeito médio</t>
  </si>
  <si>
    <t>Link do documento</t>
  </si>
  <si>
    <t>Reajuste Tarifário de Maio/2025</t>
  </si>
  <si>
    <t>areh20253459_1.pdf</t>
  </si>
  <si>
    <t>INDICADORES CEMIG D</t>
  </si>
  <si>
    <t>PERDAS DE ENERGIA</t>
  </si>
  <si>
    <t>Perdas Reais (TWh)</t>
  </si>
  <si>
    <t>% Perdas Reais</t>
  </si>
  <si>
    <t>% Perdas regulatórias</t>
  </si>
  <si>
    <t>Acumulado Cemig</t>
  </si>
  <si>
    <t>Limite Regulatório</t>
  </si>
  <si>
    <t>TAXA DE ARRECADAÇÃO</t>
  </si>
  <si>
    <t>EFICIÊNCIA OPERACIONAL</t>
  </si>
  <si>
    <t>Gestão eficiente mantém OPEX abaixo do parâmetro regulatório¹</t>
  </si>
  <si>
    <t>¹ Considera-se, na cobertura regulatória: PMSO Regulatório + RI + 78,45% do CAIMI.</t>
  </si>
  <si>
    <t>ETTM</t>
  </si>
  <si>
    <t>Cemig Itajubá</t>
  </si>
  <si>
    <t>IGP-M</t>
  </si>
  <si>
    <t>IPCA¹</t>
  </si>
  <si>
    <t>IGP-M²</t>
  </si>
  <si>
    <t>¹ Índice Nacional de Preços ao Consumidor Amplo</t>
  </si>
  <si>
    <t>² Índice Geral de Preços – Mercado</t>
  </si>
  <si>
    <t>Pai Joaquim</t>
  </si>
  <si>
    <t>Tijuco Preto I e II</t>
  </si>
  <si>
    <t>UFV SR3</t>
  </si>
  <si>
    <t>UFV B4</t>
  </si>
  <si>
    <t>Barreiro 1</t>
  </si>
  <si>
    <t>Espinho 1 e 2</t>
  </si>
  <si>
    <t>Santa Terezinha</t>
  </si>
  <si>
    <t>UFV SR1</t>
  </si>
  <si>
    <t>UFV B1</t>
  </si>
  <si>
    <t>UFV B5</t>
  </si>
  <si>
    <t>UFV SR2</t>
  </si>
  <si>
    <t>UFV B3</t>
  </si>
  <si>
    <t>UFV R1</t>
  </si>
  <si>
    <t>UFV R2</t>
  </si>
  <si>
    <t>UFV B2</t>
  </si>
  <si>
    <t>UFV PT1</t>
  </si>
  <si>
    <t>Boa Vista 4</t>
  </si>
  <si>
    <t>SOFR+0,57%</t>
  </si>
  <si>
    <t>Debêntures - 15ª Emissão - Série Única</t>
  </si>
  <si>
    <t>2041 </t>
  </si>
  <si>
    <t>IPCA+6,9416% </t>
  </si>
  <si>
    <t> R$</t>
  </si>
  <si>
    <t>Debêntures - 12ª Emissão - Série Única</t>
  </si>
  <si>
    <t>CDI+0,70%</t>
  </si>
  <si>
    <t>Resolução Homologatória N° 3589/2026 - Leis.org</t>
  </si>
  <si>
    <t>002/12</t>
  </si>
  <si>
    <t>Despesa de imposto de renda e contribuição social</t>
  </si>
  <si>
    <t>EBITDA - 2T | 2026</t>
  </si>
  <si>
    <t>EBITDA - 2T | 2025</t>
  </si>
  <si>
    <t>Provisões Regulatórias - Relações de consumo</t>
  </si>
  <si>
    <t>Atualização estimada de creditos de GD</t>
  </si>
  <si>
    <t>Variação monetária – Provisões</t>
  </si>
  <si>
    <t>Perda com Instrumentos Financeiros Derivativos (Swap)</t>
  </si>
  <si>
    <t>Variação monetária de provisões</t>
  </si>
  <si>
    <t>CUSTOS, DESPESAS E OUTRAS RECEITAS</t>
  </si>
  <si>
    <t xml:space="preserve">Remensuração do passivo de pós - emprego </t>
  </si>
  <si>
    <t>Atualização financeira de provisões</t>
  </si>
  <si>
    <t>Antecipação CDE</t>
  </si>
  <si>
    <t>Instrumentos Financeiros Derivativos</t>
  </si>
  <si>
    <t>Antecipação de CDE</t>
  </si>
  <si>
    <r>
      <t xml:space="preserve">Geração Injetada RD </t>
    </r>
    <r>
      <rPr>
        <sz val="8"/>
        <color theme="1"/>
        <rFont val="Arial"/>
        <family val="2"/>
      </rPr>
      <t>(3)</t>
    </r>
  </si>
  <si>
    <r>
      <t xml:space="preserve">Leilões CCEAR </t>
    </r>
    <r>
      <rPr>
        <sz val="8"/>
        <color theme="1"/>
        <rFont val="Arial"/>
        <family val="2"/>
      </rPr>
      <t>(1)</t>
    </r>
  </si>
  <si>
    <r>
      <t xml:space="preserve">PROINFA </t>
    </r>
    <r>
      <rPr>
        <sz val="8"/>
        <color theme="1"/>
        <rFont val="Arial"/>
        <family val="2"/>
      </rPr>
      <t>(4)</t>
    </r>
  </si>
  <si>
    <r>
      <t xml:space="preserve">Leilões CCEAR </t>
    </r>
    <r>
      <rPr>
        <sz val="8"/>
        <color theme="1"/>
        <rFont val="Arial"/>
        <family val="2"/>
      </rPr>
      <t>(5)</t>
    </r>
  </si>
  <si>
    <t>Variação do valor justo de instrumentos financeiros derivativos – swap</t>
  </si>
  <si>
    <t>Amortização do custo de transação de empréstimos</t>
  </si>
  <si>
    <t>Aquisição de controlada líquida de caixa</t>
  </si>
  <si>
    <t>Aportes e aquisição em  investimentos</t>
  </si>
  <si>
    <t xml:space="preserve">Provisões </t>
  </si>
  <si>
    <t>Conta de compensação de variação de valores de itens da “parcela A” (CVA) e outros componentes financeiros</t>
  </si>
  <si>
    <t>Ganho na alienação de intangível</t>
  </si>
  <si>
    <t xml:space="preserve">Imposto de renda e contribuição social a recuperar </t>
  </si>
  <si>
    <t xml:space="preserve">Adição em ativos de contrato </t>
  </si>
  <si>
    <t>Provisões regulatórias - relações de consumo</t>
  </si>
  <si>
    <t>1S | 2025</t>
  </si>
  <si>
    <t>1S | 2026</t>
  </si>
  <si>
    <t>Base de remuneração líquida – R$ mil</t>
  </si>
  <si>
    <t>Base de remuneração bruta – R$ mil</t>
  </si>
  <si>
    <t>REH - RESOLUÇÃO HOMOLOGATÓRIA 3.381/2026 (ciclo 2026/2027)</t>
  </si>
  <si>
    <t>INDENIZAÇÃO RBSE* a preços de jun/26. Valor sem encargo</t>
  </si>
  <si>
    <r>
      <rPr>
        <b/>
        <sz val="22"/>
        <color theme="0"/>
        <rFont val="Arial"/>
        <family val="2"/>
      </rPr>
      <t>FEC</t>
    </r>
    <r>
      <rPr>
        <sz val="11"/>
        <color theme="0"/>
        <rFont val="Arial"/>
        <family val="2"/>
      </rPr>
      <t xml:space="preserve">
</t>
    </r>
    <r>
      <rPr>
        <sz val="10"/>
        <color theme="0"/>
        <rFont val="Arial"/>
        <family val="2"/>
      </rPr>
      <t>Frequência Equivalente de Interrupção</t>
    </r>
  </si>
  <si>
    <r>
      <rPr>
        <b/>
        <sz val="22"/>
        <color theme="0"/>
        <rFont val="Arial"/>
        <family val="2"/>
      </rPr>
      <t>DEC</t>
    </r>
    <r>
      <rPr>
        <sz val="11"/>
        <color theme="0"/>
        <rFont val="Arial"/>
        <family val="2"/>
      </rPr>
      <t xml:space="preserve">
</t>
    </r>
    <r>
      <rPr>
        <sz val="10"/>
        <color theme="0"/>
        <rFont val="Arial"/>
        <family val="2"/>
      </rPr>
      <t>Duração Equivalente de Interrupção</t>
    </r>
  </si>
  <si>
    <r>
      <t xml:space="preserve">Opex: </t>
    </r>
    <r>
      <rPr>
        <b/>
        <sz val="14"/>
        <color theme="1"/>
        <rFont val="Arial"/>
        <family val="2"/>
      </rPr>
      <t>R$ 416 milhões</t>
    </r>
    <r>
      <rPr>
        <sz val="14"/>
        <color theme="1"/>
        <rFont val="Arial"/>
        <family val="2"/>
      </rPr>
      <t xml:space="preserve"> abaixo do limite regulatório no 2T26</t>
    </r>
  </si>
  <si>
    <t>Geração Distribuída</t>
  </si>
  <si>
    <t>R$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</si>
</sst>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_);_(* \(#,##0\);_(* &quot;-&quot;_);_(@_)"/>
    <numFmt numFmtId="165" formatCode="_-* #,##0.0_-;\-* #,##0.0_-;_-* &quot;-&quot;??_-;_-@_-"/>
    <numFmt numFmtId="166" formatCode="0.0%"/>
    <numFmt numFmtId="167" formatCode="_-* #,##0_-;\-* #,##0_-;_-* &quot;-&quot;??_-;_-@_-"/>
    <numFmt numFmtId="168" formatCode="[$-416]mmm\-yy;@"/>
    <numFmt numFmtId="169" formatCode="_(* #,##0.0_);_(* \(#,##0.0\);_(* &quot;-&quot;_);_(@_)"/>
    <numFmt numFmtId="170" formatCode="_(* #,##0.00_);_(* \(#,##0.00\);_(* &quot;-&quot;_);_(@_)"/>
    <numFmt numFmtId="171" formatCode="0;\-0;;@"/>
    <numFmt numFmtId="172" formatCode="mmm\-yyyy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40404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20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008E37"/>
      <name val="Arial"/>
      <family val="2"/>
    </font>
    <font>
      <b/>
      <sz val="11"/>
      <color rgb="FF008E37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ptos Narrow"/>
      <family val="2"/>
    </font>
    <font>
      <b/>
      <sz val="10.199999999999999"/>
      <color theme="0"/>
      <name val="Arial"/>
      <family val="2"/>
    </font>
    <font>
      <b/>
      <sz val="12"/>
      <color rgb="FF17772E"/>
      <name val="Arial"/>
      <family val="2"/>
    </font>
    <font>
      <b/>
      <sz val="11"/>
      <color rgb="FF17772E"/>
      <name val="Arial"/>
      <family val="2"/>
    </font>
    <font>
      <b/>
      <sz val="8"/>
      <color theme="1"/>
      <name val="Arial"/>
      <family val="2"/>
    </font>
    <font>
      <b/>
      <sz val="18"/>
      <color theme="0"/>
      <name val="Arial"/>
      <family val="2"/>
    </font>
    <font>
      <sz val="8"/>
      <color theme="1"/>
      <name val="Arial"/>
      <family val="2"/>
    </font>
    <font>
      <b/>
      <sz val="14"/>
      <color rgb="FF17772E"/>
      <name val="Arial"/>
      <family val="2"/>
    </font>
    <font>
      <sz val="11"/>
      <color rgb="FF17772E"/>
      <name val="Arial"/>
      <family val="2"/>
    </font>
    <font>
      <sz val="7"/>
      <color theme="1"/>
      <name val="Arial"/>
      <family val="2"/>
    </font>
    <font>
      <b/>
      <sz val="15"/>
      <color theme="0"/>
      <name val="Arial"/>
      <family val="2"/>
    </font>
    <font>
      <sz val="8"/>
      <color rgb="FF37473C"/>
      <name val="Arial"/>
      <family val="2"/>
    </font>
    <font>
      <b/>
      <sz val="22"/>
      <color theme="0"/>
      <name val="Arial"/>
      <family val="2"/>
    </font>
    <font>
      <b/>
      <sz val="10"/>
      <color rgb="FF17772E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3.5"/>
      <color theme="0"/>
      <name val="Arial"/>
      <family val="2"/>
    </font>
    <font>
      <b/>
      <sz val="12"/>
      <color rgb="FF105420"/>
      <name val="Arial"/>
      <family val="2"/>
    </font>
    <font>
      <b/>
      <sz val="13"/>
      <color theme="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4"/>
      <color theme="0"/>
      <name val="Arial"/>
      <family val="2"/>
    </font>
    <font>
      <b/>
      <sz val="10"/>
      <color theme="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21"/>
      <color theme="0"/>
      <name val="Arial"/>
      <family val="2"/>
    </font>
    <font>
      <b/>
      <sz val="8"/>
      <name val="Arial"/>
      <family val="2"/>
    </font>
    <font>
      <sz val="9"/>
      <color theme="1"/>
      <name val="Arial"/>
    </font>
    <font>
      <sz val="10"/>
      <color theme="1"/>
      <name val="Arial"/>
    </font>
    <font>
      <sz val="11"/>
      <color theme="1"/>
      <name val="Arial"/>
    </font>
    <font>
      <b/>
      <sz val="10"/>
      <color theme="1"/>
      <name val="Arial"/>
    </font>
    <font>
      <b/>
      <sz val="11"/>
      <color theme="0"/>
      <name val="Arial"/>
    </font>
    <font>
      <b/>
      <sz val="12"/>
      <color rgb="FF17772E"/>
      <name val="Arial"/>
    </font>
    <font>
      <b/>
      <sz val="13"/>
      <color theme="0"/>
      <name val="Arial"/>
    </font>
    <font>
      <b/>
      <sz val="12"/>
      <color theme="0"/>
      <name val="Arial"/>
    </font>
    <font>
      <b/>
      <sz val="18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7473C"/>
        <bgColor indexed="64"/>
      </patternFill>
    </fill>
    <fill>
      <patternFill patternType="solid">
        <fgColor rgb="FF17772E"/>
        <bgColor indexed="64"/>
      </patternFill>
    </fill>
    <fill>
      <patternFill patternType="solid">
        <fgColor rgb="FF10542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rgb="FF008E37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rgb="FF008E37"/>
      </bottom>
      <diagonal/>
    </border>
    <border>
      <left/>
      <right style="thin">
        <color theme="0"/>
      </right>
      <top/>
      <bottom style="thin">
        <color rgb="FF008E37"/>
      </bottom>
      <diagonal/>
    </border>
    <border>
      <left/>
      <right/>
      <top style="thin">
        <color rgb="FF17772E"/>
      </top>
      <bottom style="thin">
        <color rgb="FF17772E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/>
      <bottom style="thin">
        <color rgb="FF17772E"/>
      </bottom>
      <diagonal/>
    </border>
    <border>
      <left/>
      <right/>
      <top style="thin">
        <color rgb="FF17772E"/>
      </top>
      <bottom/>
      <diagonal/>
    </border>
    <border>
      <left/>
      <right/>
      <top style="thin">
        <color rgb="FF17772E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17772E"/>
      </bottom>
      <diagonal/>
    </border>
    <border>
      <left style="thin">
        <color theme="0"/>
      </left>
      <right/>
      <top style="thin">
        <color rgb="FF17772E"/>
      </top>
      <bottom style="thin">
        <color rgb="FF17772E"/>
      </bottom>
      <diagonal/>
    </border>
    <border>
      <left/>
      <right style="thin">
        <color theme="0"/>
      </right>
      <top style="thin">
        <color rgb="FF17772E"/>
      </top>
      <bottom/>
      <diagonal/>
    </border>
    <border>
      <left/>
      <right style="thin">
        <color theme="0"/>
      </right>
      <top/>
      <bottom style="thin">
        <color rgb="FF17772E"/>
      </bottom>
      <diagonal/>
    </border>
    <border>
      <left/>
      <right/>
      <top/>
      <bottom style="medium">
        <color rgb="FF17772E"/>
      </bottom>
      <diagonal/>
    </border>
    <border>
      <left/>
      <right/>
      <top style="medium">
        <color rgb="FF17772E"/>
      </top>
      <bottom/>
      <diagonal/>
    </border>
    <border>
      <left/>
      <right/>
      <top style="thin">
        <color rgb="FF17772E"/>
      </top>
      <bottom style="medium">
        <color rgb="FF17772E"/>
      </bottom>
      <diagonal/>
    </border>
    <border>
      <left/>
      <right/>
      <top style="thin">
        <color theme="0" tint="-0.14996795556505021"/>
      </top>
      <bottom style="thin">
        <color theme="2" tint="-9.9948118533890809E-2"/>
      </bottom>
      <diagonal/>
    </border>
    <border>
      <left/>
      <right/>
      <top style="thin">
        <color rgb="FF17772E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rgb="FF17772E"/>
      </bottom>
      <diagonal/>
    </border>
    <border>
      <left/>
      <right/>
      <top style="thin">
        <color theme="0" tint="-0.14996795556505021"/>
      </top>
      <bottom style="medium">
        <color rgb="FF17772E"/>
      </bottom>
      <diagonal/>
    </border>
    <border>
      <left/>
      <right style="thin">
        <color rgb="FF17772E"/>
      </right>
      <top/>
      <bottom/>
      <diagonal/>
    </border>
    <border>
      <left/>
      <right style="thin">
        <color rgb="FF17772E"/>
      </right>
      <top/>
      <bottom style="thin">
        <color theme="0"/>
      </bottom>
      <diagonal/>
    </border>
    <border>
      <left style="thin">
        <color rgb="FF17772E"/>
      </left>
      <right/>
      <top style="thin">
        <color rgb="FF17772E"/>
      </top>
      <bottom style="thin">
        <color theme="0" tint="-0.14996795556505021"/>
      </bottom>
      <diagonal/>
    </border>
    <border>
      <left style="thin">
        <color rgb="FF105420"/>
      </left>
      <right/>
      <top style="thin">
        <color rgb="FF105420"/>
      </top>
      <bottom/>
      <diagonal/>
    </border>
    <border>
      <left/>
      <right style="thin">
        <color rgb="FF105420"/>
      </right>
      <top style="thin">
        <color rgb="FF105420"/>
      </top>
      <bottom/>
      <diagonal/>
    </border>
    <border>
      <left style="thin">
        <color rgb="FF105420"/>
      </left>
      <right/>
      <top/>
      <bottom style="thin">
        <color theme="0" tint="-0.14996795556505021"/>
      </bottom>
      <diagonal/>
    </border>
    <border>
      <left/>
      <right style="thin">
        <color rgb="FF105420"/>
      </right>
      <top/>
      <bottom style="thin">
        <color theme="0" tint="-0.14996795556505021"/>
      </bottom>
      <diagonal/>
    </border>
    <border>
      <left style="thin">
        <color rgb="FF105420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10542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105420"/>
      </left>
      <right/>
      <top style="thin">
        <color theme="0" tint="-0.14996795556505021"/>
      </top>
      <bottom/>
      <diagonal/>
    </border>
    <border>
      <left/>
      <right style="thin">
        <color rgb="FF105420"/>
      </right>
      <top style="thin">
        <color theme="0" tint="-0.14996795556505021"/>
      </top>
      <bottom/>
      <diagonal/>
    </border>
    <border>
      <left style="thin">
        <color rgb="FF105420"/>
      </left>
      <right/>
      <top style="thin">
        <color rgb="FF105420"/>
      </top>
      <bottom style="thin">
        <color rgb="FF105420"/>
      </bottom>
      <diagonal/>
    </border>
    <border>
      <left/>
      <right style="thin">
        <color rgb="FF105420"/>
      </right>
      <top style="thin">
        <color rgb="FF105420"/>
      </top>
      <bottom style="thin">
        <color rgb="FF105420"/>
      </bottom>
      <diagonal/>
    </border>
    <border>
      <left style="thin">
        <color rgb="FF105420"/>
      </left>
      <right/>
      <top/>
      <bottom/>
      <diagonal/>
    </border>
    <border>
      <left/>
      <right style="thin">
        <color rgb="FF10542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medium">
        <color rgb="FF17772E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2" tint="-9.9948118533890809E-2"/>
      </top>
      <bottom style="medium">
        <color rgb="FF17772E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2" borderId="0" applyFont="0" applyBorder="0" applyAlignment="0">
      <alignment vertical="center" wrapText="1"/>
    </xf>
    <xf numFmtId="0" fontId="5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4" fillId="0" borderId="0" applyNumberFormat="0" applyFill="0" applyBorder="0" applyAlignment="0" applyProtection="0"/>
  </cellStyleXfs>
  <cellXfs count="534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7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3"/>
    </xf>
    <xf numFmtId="0" fontId="4" fillId="0" borderId="7" xfId="0" applyFont="1" applyBorder="1" applyAlignment="1">
      <alignment horizontal="left" vertical="center" indent="3"/>
    </xf>
    <xf numFmtId="0" fontId="8" fillId="0" borderId="7" xfId="0" applyFont="1" applyBorder="1" applyAlignment="1">
      <alignment horizontal="left" vertical="center" indent="2"/>
    </xf>
    <xf numFmtId="0" fontId="8" fillId="0" borderId="8" xfId="0" applyFont="1" applyBorder="1" applyAlignment="1">
      <alignment horizontal="left" vertical="center" indent="2"/>
    </xf>
    <xf numFmtId="167" fontId="13" fillId="0" borderId="0" xfId="0" applyNumberFormat="1" applyFont="1" applyAlignment="1">
      <alignment vertical="center"/>
    </xf>
    <xf numFmtId="167" fontId="4" fillId="0" borderId="0" xfId="1" applyNumberFormat="1" applyFont="1" applyBorder="1" applyAlignment="1">
      <alignment vertical="center"/>
    </xf>
    <xf numFmtId="167" fontId="13" fillId="0" borderId="0" xfId="1" applyNumberFormat="1" applyFont="1" applyBorder="1" applyAlignment="1">
      <alignment vertical="center"/>
    </xf>
    <xf numFmtId="167" fontId="8" fillId="0" borderId="0" xfId="1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4" fillId="0" borderId="8" xfId="0" applyFont="1" applyBorder="1" applyAlignment="1">
      <alignment horizontal="left" vertical="center" indent="3"/>
    </xf>
    <xf numFmtId="0" fontId="13" fillId="0" borderId="9" xfId="0" applyFont="1" applyBorder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4" fillId="0" borderId="10" xfId="0" applyFont="1" applyBorder="1" applyAlignment="1">
      <alignment horizontal="left" vertical="center" indent="3"/>
    </xf>
    <xf numFmtId="0" fontId="8" fillId="0" borderId="9" xfId="0" applyFont="1" applyBorder="1" applyAlignment="1">
      <alignment horizontal="left" vertical="center" indent="2"/>
    </xf>
    <xf numFmtId="164" fontId="4" fillId="0" borderId="6" xfId="1" applyNumberFormat="1" applyFont="1" applyBorder="1" applyAlignment="1">
      <alignment vertical="center"/>
    </xf>
    <xf numFmtId="164" fontId="13" fillId="0" borderId="6" xfId="1" applyNumberFormat="1" applyFont="1" applyBorder="1" applyAlignment="1">
      <alignment vertical="center"/>
    </xf>
    <xf numFmtId="164" fontId="8" fillId="0" borderId="6" xfId="1" applyNumberFormat="1" applyFont="1" applyBorder="1" applyAlignment="1">
      <alignment vertical="center"/>
    </xf>
    <xf numFmtId="164" fontId="13" fillId="0" borderId="9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64" fontId="8" fillId="0" borderId="9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164" fontId="4" fillId="0" borderId="6" xfId="0" applyNumberFormat="1" applyFont="1" applyBorder="1" applyAlignment="1">
      <alignment horizontal="left" vertical="center" indent="3"/>
    </xf>
    <xf numFmtId="164" fontId="13" fillId="0" borderId="11" xfId="0" applyNumberFormat="1" applyFont="1" applyBorder="1" applyAlignment="1">
      <alignment horizontal="left" vertical="center" indent="1"/>
    </xf>
    <xf numFmtId="164" fontId="4" fillId="0" borderId="11" xfId="0" applyNumberFormat="1" applyFont="1" applyBorder="1" applyAlignment="1">
      <alignment horizontal="left" vertical="center" indent="3"/>
    </xf>
    <xf numFmtId="169" fontId="4" fillId="0" borderId="7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2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left" vertical="center" indent="1"/>
    </xf>
    <xf numFmtId="0" fontId="2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3"/>
    </xf>
    <xf numFmtId="0" fontId="13" fillId="0" borderId="15" xfId="0" applyFont="1" applyBorder="1" applyAlignment="1">
      <alignment horizontal="left" vertical="center" indent="1"/>
    </xf>
    <xf numFmtId="164" fontId="13" fillId="0" borderId="15" xfId="0" applyNumberFormat="1" applyFont="1" applyBorder="1" applyAlignment="1">
      <alignment vertical="center"/>
    </xf>
    <xf numFmtId="0" fontId="8" fillId="0" borderId="16" xfId="0" applyFont="1" applyBorder="1" applyAlignment="1">
      <alignment horizontal="left" vertical="center" indent="2"/>
    </xf>
    <xf numFmtId="164" fontId="8" fillId="0" borderId="8" xfId="0" applyNumberFormat="1" applyFont="1" applyBorder="1" applyAlignment="1">
      <alignment vertical="center"/>
    </xf>
    <xf numFmtId="164" fontId="13" fillId="0" borderId="15" xfId="0" applyNumberFormat="1" applyFont="1" applyBorder="1" applyAlignment="1">
      <alignment horizontal="left" vertical="center" indent="1"/>
    </xf>
    <xf numFmtId="169" fontId="13" fillId="0" borderId="15" xfId="2" applyNumberFormat="1" applyFont="1" applyBorder="1" applyAlignment="1">
      <alignment vertical="center"/>
    </xf>
    <xf numFmtId="164" fontId="25" fillId="0" borderId="14" xfId="0" applyNumberFormat="1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2"/>
    </xf>
    <xf numFmtId="164" fontId="4" fillId="0" borderId="11" xfId="0" applyNumberFormat="1" applyFont="1" applyBorder="1" applyAlignment="1">
      <alignment horizontal="left" vertical="center" indent="2"/>
    </xf>
    <xf numFmtId="164" fontId="8" fillId="0" borderId="11" xfId="0" applyNumberFormat="1" applyFont="1" applyBorder="1" applyAlignment="1">
      <alignment horizontal="left" vertical="center" indent="3"/>
    </xf>
    <xf numFmtId="164" fontId="13" fillId="0" borderId="11" xfId="0" applyNumberFormat="1" applyFont="1" applyBorder="1" applyAlignment="1">
      <alignment horizontal="left" vertical="center" indent="3"/>
    </xf>
    <xf numFmtId="164" fontId="13" fillId="0" borderId="15" xfId="0" applyNumberFormat="1" applyFont="1" applyBorder="1" applyAlignment="1">
      <alignment horizontal="left" vertical="center" indent="2"/>
    </xf>
    <xf numFmtId="0" fontId="4" fillId="0" borderId="4" xfId="0" applyFont="1" applyBorder="1" applyAlignment="1">
      <alignment horizontal="left" vertical="center" indent="2"/>
    </xf>
    <xf numFmtId="164" fontId="4" fillId="0" borderId="4" xfId="0" applyNumberFormat="1" applyFont="1" applyBorder="1" applyAlignment="1">
      <alignment horizontal="left" vertical="center" indent="2"/>
    </xf>
    <xf numFmtId="0" fontId="13" fillId="0" borderId="4" xfId="0" applyFont="1" applyBorder="1" applyAlignment="1">
      <alignment horizontal="left" vertical="center" indent="1"/>
    </xf>
    <xf numFmtId="170" fontId="13" fillId="0" borderId="4" xfId="0" applyNumberFormat="1" applyFont="1" applyBorder="1" applyAlignment="1">
      <alignment horizontal="left" vertical="center" indent="2"/>
    </xf>
    <xf numFmtId="164" fontId="25" fillId="0" borderId="14" xfId="0" applyNumberFormat="1" applyFont="1" applyBorder="1" applyAlignment="1">
      <alignment horizontal="right" vertical="center"/>
    </xf>
    <xf numFmtId="169" fontId="4" fillId="0" borderId="6" xfId="2" applyNumberFormat="1" applyFont="1" applyBorder="1" applyAlignment="1">
      <alignment vertical="center"/>
    </xf>
    <xf numFmtId="169" fontId="8" fillId="0" borderId="6" xfId="2" applyNumberFormat="1" applyFont="1" applyBorder="1" applyAlignment="1">
      <alignment vertical="center"/>
    </xf>
    <xf numFmtId="169" fontId="13" fillId="0" borderId="6" xfId="2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169" fontId="13" fillId="0" borderId="7" xfId="0" applyNumberFormat="1" applyFont="1" applyBorder="1" applyAlignment="1">
      <alignment vertical="center"/>
    </xf>
    <xf numFmtId="169" fontId="8" fillId="0" borderId="9" xfId="0" applyNumberFormat="1" applyFont="1" applyBorder="1" applyAlignment="1">
      <alignment vertical="center"/>
    </xf>
    <xf numFmtId="169" fontId="8" fillId="0" borderId="7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left" vertical="center" indent="3"/>
    </xf>
    <xf numFmtId="164" fontId="4" fillId="0" borderId="0" xfId="0" applyNumberFormat="1" applyFont="1" applyAlignment="1">
      <alignment horizontal="left" vertical="center" indent="2"/>
    </xf>
    <xf numFmtId="0" fontId="13" fillId="0" borderId="5" xfId="0" applyFont="1" applyBorder="1" applyAlignment="1">
      <alignment horizontal="left" vertical="center" indent="1"/>
    </xf>
    <xf numFmtId="170" fontId="13" fillId="0" borderId="5" xfId="0" applyNumberFormat="1" applyFont="1" applyBorder="1" applyAlignment="1">
      <alignment horizontal="left" vertical="center" indent="2"/>
    </xf>
    <xf numFmtId="169" fontId="13" fillId="0" borderId="15" xfId="0" applyNumberFormat="1" applyFont="1" applyBorder="1" applyAlignment="1">
      <alignment horizontal="left" vertical="center" indent="1"/>
    </xf>
    <xf numFmtId="169" fontId="4" fillId="0" borderId="11" xfId="0" applyNumberFormat="1" applyFont="1" applyBorder="1" applyAlignment="1">
      <alignment horizontal="left" vertical="center" indent="3"/>
    </xf>
    <xf numFmtId="169" fontId="8" fillId="0" borderId="11" xfId="0" applyNumberFormat="1" applyFont="1" applyBorder="1" applyAlignment="1">
      <alignment horizontal="left" vertical="center" indent="3"/>
    </xf>
    <xf numFmtId="169" fontId="13" fillId="0" borderId="11" xfId="0" applyNumberFormat="1" applyFont="1" applyBorder="1" applyAlignment="1">
      <alignment horizontal="left" vertical="center" indent="3"/>
    </xf>
    <xf numFmtId="0" fontId="4" fillId="0" borderId="0" xfId="0" applyFont="1" applyAlignment="1">
      <alignment horizontal="left" vertical="center" indent="2"/>
    </xf>
    <xf numFmtId="170" fontId="13" fillId="0" borderId="17" xfId="0" applyNumberFormat="1" applyFont="1" applyBorder="1" applyAlignment="1">
      <alignment horizontal="left" vertical="center" indent="2"/>
    </xf>
    <xf numFmtId="164" fontId="4" fillId="0" borderId="15" xfId="0" applyNumberFormat="1" applyFont="1" applyBorder="1" applyAlignment="1">
      <alignment horizontal="left" vertical="center" indent="1"/>
    </xf>
    <xf numFmtId="164" fontId="8" fillId="0" borderId="6" xfId="0" applyNumberFormat="1" applyFont="1" applyBorder="1" applyAlignment="1">
      <alignment horizontal="left" vertical="center" indent="3"/>
    </xf>
    <xf numFmtId="164" fontId="13" fillId="0" borderId="11" xfId="0" applyNumberFormat="1" applyFont="1" applyBorder="1" applyAlignment="1">
      <alignment horizontal="left" vertical="center" indent="2"/>
    </xf>
    <xf numFmtId="164" fontId="4" fillId="0" borderId="6" xfId="1" applyNumberFormat="1" applyFont="1" applyBorder="1" applyAlignment="1">
      <alignment horizontal="right" vertical="center"/>
    </xf>
    <xf numFmtId="164" fontId="25" fillId="0" borderId="1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6" fillId="0" borderId="14" xfId="0" applyFont="1" applyBorder="1" applyAlignment="1">
      <alignment horizontal="left" vertical="center" indent="1"/>
    </xf>
    <xf numFmtId="0" fontId="22" fillId="4" borderId="14" xfId="0" applyFont="1" applyFill="1" applyBorder="1" applyAlignment="1">
      <alignment horizontal="left" vertical="center" indent="1"/>
    </xf>
    <xf numFmtId="0" fontId="18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vertical="center"/>
    </xf>
    <xf numFmtId="168" fontId="18" fillId="0" borderId="0" xfId="0" applyNumberFormat="1" applyFont="1" applyAlignment="1">
      <alignment horizontal="center" vertical="center"/>
    </xf>
    <xf numFmtId="166" fontId="18" fillId="0" borderId="0" xfId="2" applyNumberFormat="1" applyFont="1" applyBorder="1" applyAlignment="1">
      <alignment horizontal="center" vertical="center"/>
    </xf>
    <xf numFmtId="165" fontId="25" fillId="0" borderId="14" xfId="0" applyNumberFormat="1" applyFont="1" applyBorder="1" applyAlignment="1">
      <alignment horizontal="left" vertical="center" indent="1"/>
    </xf>
    <xf numFmtId="0" fontId="3" fillId="4" borderId="14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indent="2"/>
    </xf>
    <xf numFmtId="0" fontId="26" fillId="0" borderId="14" xfId="0" applyFont="1" applyBorder="1" applyAlignment="1">
      <alignment vertical="center"/>
    </xf>
    <xf numFmtId="165" fontId="26" fillId="0" borderId="14" xfId="0" applyNumberFormat="1" applyFont="1" applyBorder="1" applyAlignment="1">
      <alignment horizontal="center" vertical="center"/>
    </xf>
    <xf numFmtId="0" fontId="31" fillId="0" borderId="14" xfId="0" applyFont="1" applyBorder="1" applyAlignment="1">
      <alignment vertical="center"/>
    </xf>
    <xf numFmtId="0" fontId="25" fillId="0" borderId="18" xfId="0" applyFont="1" applyBorder="1" applyAlignment="1">
      <alignment horizontal="center" vertical="center" wrapText="1"/>
    </xf>
    <xf numFmtId="165" fontId="25" fillId="0" borderId="18" xfId="0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left" vertical="center" indent="1"/>
    </xf>
    <xf numFmtId="165" fontId="25" fillId="0" borderId="18" xfId="0" applyNumberFormat="1" applyFont="1" applyBorder="1" applyAlignment="1">
      <alignment horizontal="left" vertical="center" indent="1"/>
    </xf>
    <xf numFmtId="165" fontId="26" fillId="0" borderId="14" xfId="0" applyNumberFormat="1" applyFont="1" applyBorder="1" applyAlignment="1">
      <alignment horizontal="left" vertical="center" indent="1"/>
    </xf>
    <xf numFmtId="0" fontId="33" fillId="4" borderId="14" xfId="0" applyFont="1" applyFill="1" applyBorder="1" applyAlignment="1">
      <alignment horizontal="left" vertical="center" indent="1"/>
    </xf>
    <xf numFmtId="0" fontId="33" fillId="4" borderId="14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left" vertical="center" indent="3"/>
    </xf>
    <xf numFmtId="164" fontId="8" fillId="0" borderId="0" xfId="0" applyNumberFormat="1" applyFont="1" applyAlignment="1">
      <alignment horizontal="left" vertical="center" indent="3"/>
    </xf>
    <xf numFmtId="164" fontId="13" fillId="0" borderId="0" xfId="0" applyNumberFormat="1" applyFont="1" applyAlignment="1">
      <alignment horizontal="left" vertical="center" indent="3"/>
    </xf>
    <xf numFmtId="0" fontId="17" fillId="3" borderId="0" xfId="0" applyFont="1" applyFill="1" applyAlignment="1">
      <alignment horizontal="left" vertical="center" indent="2"/>
    </xf>
    <xf numFmtId="0" fontId="17" fillId="0" borderId="0" xfId="0" applyFont="1" applyAlignment="1">
      <alignment horizontal="left" vertical="center" indent="2"/>
    </xf>
    <xf numFmtId="0" fontId="17" fillId="4" borderId="0" xfId="0" applyFont="1" applyFill="1" applyAlignment="1">
      <alignment horizontal="left" vertical="center" indent="2"/>
    </xf>
    <xf numFmtId="164" fontId="4" fillId="0" borderId="0" xfId="0" applyNumberFormat="1" applyFont="1" applyAlignment="1">
      <alignment horizontal="left" vertical="center" indent="1"/>
    </xf>
    <xf numFmtId="0" fontId="28" fillId="4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17" fillId="4" borderId="0" xfId="0" applyFont="1" applyFill="1" applyAlignment="1">
      <alignment vertical="center"/>
    </xf>
    <xf numFmtId="171" fontId="4" fillId="0" borderId="11" xfId="0" applyNumberFormat="1" applyFont="1" applyBorder="1" applyAlignment="1">
      <alignment horizontal="left" vertical="center" indent="2"/>
    </xf>
    <xf numFmtId="171" fontId="13" fillId="0" borderId="15" xfId="0" applyNumberFormat="1" applyFont="1" applyBorder="1" applyAlignment="1">
      <alignment horizontal="left" vertical="center" indent="1"/>
    </xf>
    <xf numFmtId="171" fontId="4" fillId="0" borderId="7" xfId="0" applyNumberFormat="1" applyFont="1" applyBorder="1" applyAlignment="1">
      <alignment horizontal="left" vertical="center" indent="2"/>
    </xf>
    <xf numFmtId="171" fontId="13" fillId="0" borderId="0" xfId="0" applyNumberFormat="1" applyFont="1" applyAlignment="1">
      <alignment horizontal="left" vertical="center" indent="1"/>
    </xf>
    <xf numFmtId="171" fontId="13" fillId="0" borderId="5" xfId="0" applyNumberFormat="1" applyFont="1" applyBorder="1" applyAlignment="1">
      <alignment horizontal="left" vertical="center" indent="1"/>
    </xf>
    <xf numFmtId="171" fontId="25" fillId="0" borderId="0" xfId="0" applyNumberFormat="1" applyFont="1" applyAlignment="1">
      <alignment horizontal="left" vertical="center" indent="1"/>
    </xf>
    <xf numFmtId="171" fontId="4" fillId="0" borderId="0" xfId="0" applyNumberFormat="1" applyFont="1" applyAlignment="1">
      <alignment horizontal="left" vertical="center" indent="2"/>
    </xf>
    <xf numFmtId="0" fontId="17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71" fontId="13" fillId="0" borderId="11" xfId="0" applyNumberFormat="1" applyFont="1" applyBorder="1" applyAlignment="1">
      <alignment horizontal="left" vertical="center" indent="1"/>
    </xf>
    <xf numFmtId="171" fontId="13" fillId="0" borderId="7" xfId="0" applyNumberFormat="1" applyFont="1" applyBorder="1" applyAlignment="1">
      <alignment horizontal="left" vertical="center" indent="1"/>
    </xf>
    <xf numFmtId="171" fontId="4" fillId="0" borderId="7" xfId="0" applyNumberFormat="1" applyFont="1" applyBorder="1" applyAlignment="1">
      <alignment horizontal="left" vertical="center" indent="1"/>
    </xf>
    <xf numFmtId="171" fontId="13" fillId="0" borderId="0" xfId="0" applyNumberFormat="1" applyFont="1" applyAlignment="1">
      <alignment horizontal="left" vertical="center"/>
    </xf>
    <xf numFmtId="171" fontId="13" fillId="0" borderId="4" xfId="0" applyNumberFormat="1" applyFont="1" applyBorder="1" applyAlignment="1">
      <alignment horizontal="left" vertical="center"/>
    </xf>
    <xf numFmtId="0" fontId="34" fillId="0" borderId="0" xfId="0" applyFont="1" applyAlignment="1">
      <alignment horizontal="center" vertical="center" wrapText="1"/>
    </xf>
    <xf numFmtId="0" fontId="28" fillId="4" borderId="0" xfId="0" applyFont="1" applyFill="1" applyAlignment="1">
      <alignment horizontal="left" vertical="center" indent="2"/>
    </xf>
    <xf numFmtId="0" fontId="28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164" fontId="4" fillId="0" borderId="6" xfId="2" applyNumberFormat="1" applyFont="1" applyBorder="1" applyAlignment="1">
      <alignment vertical="center"/>
    </xf>
    <xf numFmtId="164" fontId="8" fillId="0" borderId="6" xfId="2" applyNumberFormat="1" applyFont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9" fontId="25" fillId="0" borderId="14" xfId="0" applyNumberFormat="1" applyFont="1" applyBorder="1" applyAlignment="1">
      <alignment vertical="center"/>
    </xf>
    <xf numFmtId="169" fontId="25" fillId="0" borderId="14" xfId="0" applyNumberFormat="1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2"/>
    </xf>
    <xf numFmtId="0" fontId="4" fillId="0" borderId="11" xfId="0" applyFont="1" applyBorder="1" applyAlignment="1">
      <alignment horizontal="left" vertical="center" indent="3"/>
    </xf>
    <xf numFmtId="164" fontId="25" fillId="0" borderId="14" xfId="1" applyNumberFormat="1" applyFont="1" applyBorder="1" applyAlignment="1">
      <alignment horizontal="left" vertical="center" indent="1"/>
    </xf>
    <xf numFmtId="0" fontId="3" fillId="4" borderId="12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 indent="1"/>
    </xf>
    <xf numFmtId="0" fontId="3" fillId="4" borderId="12" xfId="0" applyFont="1" applyFill="1" applyBorder="1" applyAlignment="1">
      <alignment horizontal="right" vertical="center" indent="1"/>
    </xf>
    <xf numFmtId="165" fontId="25" fillId="0" borderId="14" xfId="1" applyNumberFormat="1" applyFont="1" applyBorder="1" applyAlignment="1">
      <alignment horizontal="right" vertical="center"/>
    </xf>
    <xf numFmtId="169" fontId="25" fillId="0" borderId="14" xfId="2" applyNumberFormat="1" applyFont="1" applyBorder="1" applyAlignment="1">
      <alignment horizontal="center" vertical="center"/>
    </xf>
    <xf numFmtId="169" fontId="25" fillId="0" borderId="14" xfId="2" applyNumberFormat="1" applyFont="1" applyBorder="1" applyAlignment="1">
      <alignment horizontal="right" vertical="center" indent="1"/>
    </xf>
    <xf numFmtId="169" fontId="25" fillId="0" borderId="14" xfId="2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 indent="2"/>
    </xf>
    <xf numFmtId="0" fontId="35" fillId="0" borderId="0" xfId="0" applyFont="1" applyAlignment="1">
      <alignment vertical="center"/>
    </xf>
    <xf numFmtId="170" fontId="4" fillId="0" borderId="15" xfId="0" applyNumberFormat="1" applyFont="1" applyBorder="1" applyAlignment="1">
      <alignment horizontal="left" vertical="center" indent="1"/>
    </xf>
    <xf numFmtId="170" fontId="4" fillId="0" borderId="15" xfId="0" applyNumberFormat="1" applyFont="1" applyBorder="1" applyAlignment="1">
      <alignment horizontal="left" vertical="center"/>
    </xf>
    <xf numFmtId="170" fontId="4" fillId="0" borderId="0" xfId="0" applyNumberFormat="1" applyFont="1" applyAlignment="1">
      <alignment horizontal="left" vertical="center"/>
    </xf>
    <xf numFmtId="2" fontId="25" fillId="0" borderId="14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164" fontId="4" fillId="0" borderId="15" xfId="0" applyNumberFormat="1" applyFont="1" applyBorder="1" applyAlignment="1">
      <alignment horizontal="left" vertical="center"/>
    </xf>
    <xf numFmtId="164" fontId="8" fillId="0" borderId="15" xfId="0" applyNumberFormat="1" applyFont="1" applyBorder="1" applyAlignment="1">
      <alignment horizontal="left" vertical="center"/>
    </xf>
    <xf numFmtId="164" fontId="8" fillId="0" borderId="15" xfId="0" applyNumberFormat="1" applyFont="1" applyBorder="1" applyAlignment="1">
      <alignment horizontal="left" vertical="center" indent="1"/>
    </xf>
    <xf numFmtId="164" fontId="3" fillId="4" borderId="14" xfId="0" applyNumberFormat="1" applyFont="1" applyFill="1" applyBorder="1" applyAlignment="1">
      <alignment horizontal="left" vertical="center" indent="1"/>
    </xf>
    <xf numFmtId="0" fontId="3" fillId="4" borderId="14" xfId="0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right" vertical="center"/>
    </xf>
    <xf numFmtId="164" fontId="22" fillId="4" borderId="14" xfId="0" applyNumberFormat="1" applyFont="1" applyFill="1" applyBorder="1" applyAlignment="1">
      <alignment horizontal="left" vertical="center" indent="1"/>
    </xf>
    <xf numFmtId="0" fontId="22" fillId="4" borderId="14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164" fontId="15" fillId="4" borderId="17" xfId="0" applyNumberFormat="1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164" fontId="36" fillId="0" borderId="14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0" fontId="4" fillId="0" borderId="15" xfId="0" applyNumberFormat="1" applyFont="1" applyBorder="1" applyAlignment="1">
      <alignment horizontal="center" vertical="center"/>
    </xf>
    <xf numFmtId="2" fontId="36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left" vertical="center" indent="3"/>
    </xf>
    <xf numFmtId="164" fontId="25" fillId="0" borderId="14" xfId="0" applyNumberFormat="1" applyFont="1" applyBorder="1" applyAlignment="1">
      <alignment horizontal="left" vertical="center"/>
    </xf>
    <xf numFmtId="164" fontId="26" fillId="0" borderId="14" xfId="0" applyNumberFormat="1" applyFont="1" applyBorder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4" fillId="0" borderId="24" xfId="0" applyFont="1" applyBorder="1" applyAlignment="1">
      <alignment horizontal="left" vertical="center" indent="1"/>
    </xf>
    <xf numFmtId="164" fontId="4" fillId="0" borderId="24" xfId="0" applyNumberFormat="1" applyFont="1" applyBorder="1" applyAlignment="1">
      <alignment horizontal="left" vertical="center"/>
    </xf>
    <xf numFmtId="0" fontId="3" fillId="4" borderId="0" xfId="0" applyFont="1" applyFill="1" applyAlignment="1">
      <alignment horizontal="left" vertical="center" indent="1"/>
    </xf>
    <xf numFmtId="0" fontId="29" fillId="0" borderId="0" xfId="0" applyFont="1" applyAlignment="1">
      <alignment horizontal="left" vertical="center" indent="2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7" fillId="0" borderId="0" xfId="0" applyFont="1" applyAlignment="1">
      <alignment horizontal="left" vertical="center" indent="2"/>
    </xf>
    <xf numFmtId="0" fontId="3" fillId="4" borderId="0" xfId="0" applyFont="1" applyFill="1" applyAlignment="1">
      <alignment horizontal="right" vertical="center" indent="1"/>
    </xf>
    <xf numFmtId="170" fontId="4" fillId="0" borderId="0" xfId="0" applyNumberFormat="1" applyFont="1" applyAlignment="1">
      <alignment horizontal="left" vertical="center" indent="1"/>
    </xf>
    <xf numFmtId="164" fontId="26" fillId="0" borderId="14" xfId="0" applyNumberFormat="1" applyFont="1" applyBorder="1" applyAlignment="1">
      <alignment horizontal="right" vertical="center"/>
    </xf>
    <xf numFmtId="2" fontId="26" fillId="0" borderId="14" xfId="0" applyNumberFormat="1" applyFont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4" fillId="0" borderId="14" xfId="0" applyFont="1" applyBorder="1" applyAlignment="1">
      <alignment vertical="center"/>
    </xf>
    <xf numFmtId="164" fontId="26" fillId="0" borderId="14" xfId="0" applyNumberFormat="1" applyFont="1" applyBorder="1" applyAlignment="1">
      <alignment vertical="center"/>
    </xf>
    <xf numFmtId="0" fontId="25" fillId="0" borderId="25" xfId="0" applyFont="1" applyBorder="1" applyAlignment="1">
      <alignment horizontal="left" vertical="center" indent="1"/>
    </xf>
    <xf numFmtId="164" fontId="25" fillId="0" borderId="25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left" vertical="center" indent="1"/>
    </xf>
    <xf numFmtId="169" fontId="25" fillId="0" borderId="14" xfId="0" applyNumberFormat="1" applyFont="1" applyBorder="1" applyAlignment="1">
      <alignment horizontal="right" vertical="center"/>
    </xf>
    <xf numFmtId="0" fontId="22" fillId="4" borderId="0" xfId="0" applyFont="1" applyFill="1" applyAlignment="1">
      <alignment horizontal="center" vertical="center" wrapText="1"/>
    </xf>
    <xf numFmtId="0" fontId="25" fillId="0" borderId="14" xfId="0" applyFont="1" applyBorder="1" applyAlignment="1">
      <alignment horizontal="left" vertical="center" indent="2"/>
    </xf>
    <xf numFmtId="164" fontId="4" fillId="0" borderId="7" xfId="0" applyNumberFormat="1" applyFont="1" applyBorder="1" applyAlignment="1">
      <alignment horizontal="left" vertical="center" indent="2"/>
    </xf>
    <xf numFmtId="164" fontId="13" fillId="0" borderId="7" xfId="0" applyNumberFormat="1" applyFont="1" applyBorder="1" applyAlignment="1">
      <alignment horizontal="left" vertical="center" indent="1"/>
    </xf>
    <xf numFmtId="164" fontId="25" fillId="0" borderId="14" xfId="0" applyNumberFormat="1" applyFont="1" applyBorder="1" applyAlignment="1">
      <alignment horizontal="left" vertical="center" indent="2"/>
    </xf>
    <xf numFmtId="167" fontId="25" fillId="0" borderId="14" xfId="1" applyNumberFormat="1" applyFont="1" applyBorder="1" applyAlignment="1">
      <alignment horizontal="left" vertical="center" indent="1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4" fillId="0" borderId="7" xfId="0" applyNumberFormat="1" applyFont="1" applyBorder="1" applyAlignment="1">
      <alignment horizontal="left" vertical="center" indent="1"/>
    </xf>
    <xf numFmtId="164" fontId="13" fillId="0" borderId="7" xfId="0" applyNumberFormat="1" applyFont="1" applyBorder="1" applyAlignment="1">
      <alignment horizontal="left" vertical="center" indent="2"/>
    </xf>
    <xf numFmtId="0" fontId="3" fillId="4" borderId="14" xfId="0" applyFont="1" applyFill="1" applyBorder="1" applyAlignment="1">
      <alignment horizontal="left" vertical="center" indent="1"/>
    </xf>
    <xf numFmtId="0" fontId="39" fillId="4" borderId="14" xfId="0" applyFont="1" applyFill="1" applyBorder="1" applyAlignment="1">
      <alignment horizontal="left" vertical="center" indent="1"/>
    </xf>
    <xf numFmtId="14" fontId="15" fillId="4" borderId="20" xfId="0" applyNumberFormat="1" applyFont="1" applyFill="1" applyBorder="1" applyAlignment="1">
      <alignment horizontal="center" vertical="center"/>
    </xf>
    <xf numFmtId="0" fontId="25" fillId="0" borderId="26" xfId="0" applyFont="1" applyBorder="1" applyAlignment="1">
      <alignment horizontal="left" vertical="center" indent="1"/>
    </xf>
    <xf numFmtId="0" fontId="26" fillId="0" borderId="26" xfId="0" applyFont="1" applyBorder="1" applyAlignment="1">
      <alignment horizontal="left" vertical="center" indent="1"/>
    </xf>
    <xf numFmtId="165" fontId="25" fillId="0" borderId="26" xfId="0" applyNumberFormat="1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13" fillId="0" borderId="28" xfId="0" applyFont="1" applyBorder="1" applyAlignment="1">
      <alignment horizontal="left" vertical="center" indent="1"/>
    </xf>
    <xf numFmtId="170" fontId="4" fillId="0" borderId="28" xfId="0" applyNumberFormat="1" applyFont="1" applyBorder="1" applyAlignment="1">
      <alignment horizontal="left" vertical="center"/>
    </xf>
    <xf numFmtId="170" fontId="4" fillId="0" borderId="28" xfId="0" applyNumberFormat="1" applyFont="1" applyBorder="1" applyAlignment="1">
      <alignment horizontal="left" vertical="center" indent="1"/>
    </xf>
    <xf numFmtId="164" fontId="4" fillId="0" borderId="7" xfId="0" applyNumberFormat="1" applyFont="1" applyBorder="1" applyAlignment="1">
      <alignment horizontal="left" vertical="center"/>
    </xf>
    <xf numFmtId="170" fontId="2" fillId="0" borderId="7" xfId="0" applyNumberFormat="1" applyFont="1" applyBorder="1" applyAlignment="1">
      <alignment horizontal="left" vertical="center"/>
    </xf>
    <xf numFmtId="170" fontId="2" fillId="0" borderId="7" xfId="0" applyNumberFormat="1" applyFont="1" applyBorder="1" applyAlignment="1">
      <alignment horizontal="left" vertical="center" indent="1"/>
    </xf>
    <xf numFmtId="164" fontId="8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170" fontId="4" fillId="0" borderId="7" xfId="0" applyNumberFormat="1" applyFont="1" applyBorder="1" applyAlignment="1">
      <alignment horizontal="left" vertical="center"/>
    </xf>
    <xf numFmtId="170" fontId="4" fillId="0" borderId="7" xfId="0" applyNumberFormat="1" applyFont="1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4" fillId="0" borderId="29" xfId="0" applyFont="1" applyBorder="1" applyAlignment="1">
      <alignment horizontal="left" vertical="center" indent="1"/>
    </xf>
    <xf numFmtId="164" fontId="4" fillId="0" borderId="29" xfId="0" applyNumberFormat="1" applyFont="1" applyBorder="1" applyAlignment="1">
      <alignment horizontal="left" vertical="center"/>
    </xf>
    <xf numFmtId="164" fontId="4" fillId="0" borderId="29" xfId="0" applyNumberFormat="1" applyFont="1" applyBorder="1" applyAlignment="1">
      <alignment horizontal="left" vertical="center" indent="1"/>
    </xf>
    <xf numFmtId="0" fontId="13" fillId="0" borderId="7" xfId="0" applyFont="1" applyBorder="1" applyAlignment="1">
      <alignment horizontal="left" vertical="center" indent="2"/>
    </xf>
    <xf numFmtId="170" fontId="4" fillId="0" borderId="27" xfId="0" applyNumberFormat="1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 indent="3"/>
    </xf>
    <xf numFmtId="0" fontId="18" fillId="0" borderId="28" xfId="0" applyFont="1" applyBorder="1" applyAlignment="1">
      <alignment horizontal="left" vertical="center"/>
    </xf>
    <xf numFmtId="165" fontId="18" fillId="0" borderId="28" xfId="0" applyNumberFormat="1" applyFont="1" applyBorder="1" applyAlignment="1">
      <alignment vertical="center"/>
    </xf>
    <xf numFmtId="168" fontId="18" fillId="0" borderId="28" xfId="0" applyNumberFormat="1" applyFont="1" applyBorder="1" applyAlignment="1">
      <alignment horizontal="center" vertical="center"/>
    </xf>
    <xf numFmtId="166" fontId="18" fillId="0" borderId="28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indent="3"/>
    </xf>
    <xf numFmtId="0" fontId="18" fillId="0" borderId="7" xfId="0" applyFont="1" applyBorder="1" applyAlignment="1">
      <alignment horizontal="left" vertical="center"/>
    </xf>
    <xf numFmtId="165" fontId="18" fillId="0" borderId="7" xfId="0" applyNumberFormat="1" applyFont="1" applyBorder="1" applyAlignment="1">
      <alignment vertical="center"/>
    </xf>
    <xf numFmtId="168" fontId="18" fillId="0" borderId="7" xfId="0" applyNumberFormat="1" applyFont="1" applyBorder="1" applyAlignment="1">
      <alignment horizontal="center" vertical="center"/>
    </xf>
    <xf numFmtId="166" fontId="18" fillId="0" borderId="7" xfId="0" applyNumberFormat="1" applyFont="1" applyBorder="1" applyAlignment="1">
      <alignment horizontal="center" vertical="center"/>
    </xf>
    <xf numFmtId="166" fontId="18" fillId="0" borderId="7" xfId="2" applyNumberFormat="1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center" indent="3"/>
    </xf>
    <xf numFmtId="0" fontId="18" fillId="0" borderId="29" xfId="0" applyFont="1" applyBorder="1" applyAlignment="1">
      <alignment horizontal="left" vertical="center"/>
    </xf>
    <xf numFmtId="165" fontId="18" fillId="0" borderId="29" xfId="0" applyNumberFormat="1" applyFont="1" applyBorder="1" applyAlignment="1">
      <alignment vertical="center"/>
    </xf>
    <xf numFmtId="168" fontId="18" fillId="0" borderId="29" xfId="0" applyNumberFormat="1" applyFont="1" applyBorder="1" applyAlignment="1">
      <alignment horizontal="center" vertical="center"/>
    </xf>
    <xf numFmtId="166" fontId="18" fillId="0" borderId="29" xfId="2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indent="2"/>
    </xf>
    <xf numFmtId="0" fontId="4" fillId="0" borderId="29" xfId="0" applyFont="1" applyBorder="1" applyAlignment="1">
      <alignment horizontal="left" vertical="center" indent="2"/>
    </xf>
    <xf numFmtId="164" fontId="4" fillId="0" borderId="9" xfId="1" applyNumberFormat="1" applyFont="1" applyBorder="1" applyAlignment="1">
      <alignment vertical="center"/>
    </xf>
    <xf numFmtId="169" fontId="4" fillId="0" borderId="9" xfId="2" applyNumberFormat="1" applyFont="1" applyBorder="1" applyAlignment="1">
      <alignment horizontal="center" vertical="center"/>
    </xf>
    <xf numFmtId="164" fontId="4" fillId="0" borderId="9" xfId="1" applyNumberFormat="1" applyFont="1" applyBorder="1" applyAlignment="1">
      <alignment horizontal="left" vertical="center" indent="3"/>
    </xf>
    <xf numFmtId="169" fontId="4" fillId="0" borderId="9" xfId="0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vertical="center"/>
    </xf>
    <xf numFmtId="169" fontId="4" fillId="0" borderId="7" xfId="2" applyNumberFormat="1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right" vertical="center" indent="3"/>
    </xf>
    <xf numFmtId="164" fontId="4" fillId="0" borderId="7" xfId="1" applyNumberFormat="1" applyFont="1" applyBorder="1" applyAlignment="1">
      <alignment horizontal="left" vertical="center" indent="3"/>
    </xf>
    <xf numFmtId="169" fontId="4" fillId="0" borderId="7" xfId="0" applyNumberFormat="1" applyFont="1" applyBorder="1" applyAlignment="1">
      <alignment horizontal="right" vertical="center"/>
    </xf>
    <xf numFmtId="164" fontId="13" fillId="0" borderId="7" xfId="1" applyNumberFormat="1" applyFont="1" applyBorder="1" applyAlignment="1">
      <alignment vertical="center"/>
    </xf>
    <xf numFmtId="169" fontId="13" fillId="0" borderId="7" xfId="2" applyNumberFormat="1" applyFont="1" applyBorder="1" applyAlignment="1">
      <alignment horizontal="center" vertical="center"/>
    </xf>
    <xf numFmtId="164" fontId="13" fillId="0" borderId="7" xfId="1" applyNumberFormat="1" applyFont="1" applyBorder="1" applyAlignment="1">
      <alignment horizontal="right" vertical="center" indent="3"/>
    </xf>
    <xf numFmtId="169" fontId="13" fillId="0" borderId="7" xfId="0" applyNumberFormat="1" applyFont="1" applyBorder="1" applyAlignment="1">
      <alignment horizontal="right" vertical="center"/>
    </xf>
    <xf numFmtId="164" fontId="13" fillId="0" borderId="7" xfId="0" applyNumberFormat="1" applyFont="1" applyBorder="1" applyAlignment="1">
      <alignment horizontal="right" vertical="center"/>
    </xf>
    <xf numFmtId="169" fontId="4" fillId="0" borderId="29" xfId="2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right" vertical="center"/>
    </xf>
    <xf numFmtId="164" fontId="4" fillId="0" borderId="29" xfId="0" applyNumberFormat="1" applyFont="1" applyBorder="1" applyAlignment="1">
      <alignment horizontal="left" vertical="center" indent="2"/>
    </xf>
    <xf numFmtId="0" fontId="4" fillId="0" borderId="11" xfId="0" applyFont="1" applyBorder="1" applyAlignment="1">
      <alignment horizontal="center" vertical="center"/>
    </xf>
    <xf numFmtId="170" fontId="4" fillId="0" borderId="11" xfId="0" applyNumberFormat="1" applyFont="1" applyBorder="1" applyAlignment="1">
      <alignment horizontal="left" vertical="center"/>
    </xf>
    <xf numFmtId="170" fontId="4" fillId="0" borderId="11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left" vertical="center" indent="1"/>
    </xf>
    <xf numFmtId="0" fontId="4" fillId="0" borderId="7" xfId="0" applyFont="1" applyBorder="1" applyAlignment="1">
      <alignment horizontal="center" vertical="center"/>
    </xf>
    <xf numFmtId="170" fontId="4" fillId="0" borderId="7" xfId="0" applyNumberFormat="1" applyFont="1" applyBorder="1" applyAlignment="1">
      <alignment horizontal="center" vertical="center"/>
    </xf>
    <xf numFmtId="170" fontId="4" fillId="0" borderId="29" xfId="0" applyNumberFormat="1" applyFont="1" applyBorder="1" applyAlignment="1">
      <alignment horizontal="left" vertical="center"/>
    </xf>
    <xf numFmtId="170" fontId="4" fillId="0" borderId="29" xfId="0" applyNumberFormat="1" applyFont="1" applyBorder="1" applyAlignment="1">
      <alignment horizontal="left" vertical="center" indent="1"/>
    </xf>
    <xf numFmtId="0" fontId="4" fillId="0" borderId="11" xfId="0" applyFont="1" applyBorder="1" applyAlignment="1">
      <alignment vertical="center"/>
    </xf>
    <xf numFmtId="0" fontId="3" fillId="4" borderId="0" xfId="0" applyFont="1" applyFill="1" applyAlignment="1">
      <alignment vertical="center"/>
    </xf>
    <xf numFmtId="0" fontId="2" fillId="0" borderId="11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30" xfId="0" applyFont="1" applyBorder="1" applyAlignment="1">
      <alignment horizontal="left" vertical="center" indent="1"/>
    </xf>
    <xf numFmtId="0" fontId="28" fillId="4" borderId="0" xfId="0" applyFont="1" applyFill="1" applyAlignment="1">
      <alignment horizontal="left" vertical="center" indent="1"/>
    </xf>
    <xf numFmtId="0" fontId="4" fillId="0" borderId="11" xfId="0" applyFont="1" applyBorder="1" applyAlignment="1">
      <alignment horizontal="right" vertical="center" indent="1"/>
    </xf>
    <xf numFmtId="0" fontId="4" fillId="0" borderId="8" xfId="0" applyFont="1" applyBorder="1" applyAlignment="1">
      <alignment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2" fillId="5" borderId="34" xfId="0" applyFont="1" applyFill="1" applyBorder="1" applyAlignment="1">
      <alignment horizontal="left" vertical="center" indent="1"/>
    </xf>
    <xf numFmtId="0" fontId="3" fillId="5" borderId="35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left" vertical="center" indent="1"/>
    </xf>
    <xf numFmtId="164" fontId="13" fillId="0" borderId="37" xfId="0" applyNumberFormat="1" applyFont="1" applyBorder="1" applyAlignment="1">
      <alignment horizontal="left" vertical="center" indent="1"/>
    </xf>
    <xf numFmtId="0" fontId="4" fillId="0" borderId="38" xfId="0" applyFont="1" applyBorder="1" applyAlignment="1">
      <alignment horizontal="left" vertical="center" indent="2"/>
    </xf>
    <xf numFmtId="164" fontId="4" fillId="0" borderId="39" xfId="0" applyNumberFormat="1" applyFont="1" applyBorder="1" applyAlignment="1">
      <alignment vertical="center"/>
    </xf>
    <xf numFmtId="0" fontId="4" fillId="0" borderId="38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 indent="1"/>
    </xf>
    <xf numFmtId="164" fontId="13" fillId="0" borderId="39" xfId="0" applyNumberFormat="1" applyFont="1" applyBorder="1" applyAlignment="1">
      <alignment horizontal="left" vertical="center" indent="1"/>
    </xf>
    <xf numFmtId="0" fontId="4" fillId="0" borderId="40" xfId="0" applyFont="1" applyBorder="1" applyAlignment="1">
      <alignment horizontal="left" vertical="center" indent="2"/>
    </xf>
    <xf numFmtId="164" fontId="4" fillId="0" borderId="41" xfId="0" applyNumberFormat="1" applyFont="1" applyBorder="1" applyAlignment="1">
      <alignment vertical="center"/>
    </xf>
    <xf numFmtId="0" fontId="40" fillId="0" borderId="42" xfId="0" applyFont="1" applyBorder="1" applyAlignment="1">
      <alignment horizontal="left" vertical="center" indent="1"/>
    </xf>
    <xf numFmtId="164" fontId="40" fillId="0" borderId="43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left" vertical="center" wrapText="1" indent="1"/>
    </xf>
    <xf numFmtId="164" fontId="13" fillId="0" borderId="39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 indent="1"/>
    </xf>
    <xf numFmtId="164" fontId="2" fillId="0" borderId="37" xfId="0" applyNumberFormat="1" applyFont="1" applyBorder="1" applyAlignment="1">
      <alignment horizontal="left" vertical="center" indent="1"/>
    </xf>
    <xf numFmtId="0" fontId="13" fillId="0" borderId="44" xfId="0" applyFont="1" applyBorder="1" applyAlignment="1">
      <alignment horizontal="left" vertical="center" indent="2"/>
    </xf>
    <xf numFmtId="164" fontId="13" fillId="0" borderId="45" xfId="0" applyNumberFormat="1" applyFont="1" applyBorder="1" applyAlignment="1">
      <alignment vertical="center"/>
    </xf>
    <xf numFmtId="0" fontId="40" fillId="0" borderId="0" xfId="0" applyFont="1" applyAlignment="1">
      <alignment horizontal="left" vertical="center" indent="1"/>
    </xf>
    <xf numFmtId="164" fontId="40" fillId="0" borderId="0" xfId="0" applyNumberFormat="1" applyFont="1" applyAlignment="1">
      <alignment horizontal="center" vertical="center"/>
    </xf>
    <xf numFmtId="0" fontId="2" fillId="0" borderId="47" xfId="0" applyFont="1" applyBorder="1" applyAlignment="1">
      <alignment horizontal="left" vertical="center" indent="1"/>
    </xf>
    <xf numFmtId="0" fontId="13" fillId="0" borderId="47" xfId="0" applyFont="1" applyBorder="1" applyAlignment="1">
      <alignment horizontal="left" vertical="center" indent="1"/>
    </xf>
    <xf numFmtId="0" fontId="4" fillId="0" borderId="47" xfId="0" applyFont="1" applyBorder="1" applyAlignment="1">
      <alignment horizontal="left" vertical="center" indent="2"/>
    </xf>
    <xf numFmtId="0" fontId="4" fillId="0" borderId="10" xfId="0" applyFont="1" applyBorder="1" applyAlignment="1">
      <alignment horizontal="left" vertical="center" indent="2"/>
    </xf>
    <xf numFmtId="0" fontId="4" fillId="0" borderId="48" xfId="0" applyFont="1" applyBorder="1" applyAlignment="1">
      <alignment horizontal="left" vertical="center" indent="2"/>
    </xf>
    <xf numFmtId="164" fontId="4" fillId="0" borderId="10" xfId="0" applyNumberFormat="1" applyFont="1" applyBorder="1" applyAlignment="1">
      <alignment vertical="center"/>
    </xf>
    <xf numFmtId="164" fontId="2" fillId="0" borderId="47" xfId="0" applyNumberFormat="1" applyFont="1" applyBorder="1" applyAlignment="1">
      <alignment vertical="center"/>
    </xf>
    <xf numFmtId="164" fontId="2" fillId="0" borderId="48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47" xfId="0" applyNumberFormat="1" applyFont="1" applyBorder="1" applyAlignment="1">
      <alignment vertical="center"/>
    </xf>
    <xf numFmtId="164" fontId="4" fillId="0" borderId="48" xfId="0" applyNumberFormat="1" applyFont="1" applyBorder="1" applyAlignment="1">
      <alignment vertical="center"/>
    </xf>
    <xf numFmtId="0" fontId="8" fillId="0" borderId="8" xfId="0" applyFont="1" applyBorder="1" applyAlignment="1">
      <alignment horizontal="left" vertical="center" indent="1"/>
    </xf>
    <xf numFmtId="0" fontId="15" fillId="4" borderId="0" xfId="0" applyFont="1" applyFill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72" fontId="4" fillId="0" borderId="7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0" fontId="31" fillId="0" borderId="14" xfId="0" applyFont="1" applyBorder="1"/>
    <xf numFmtId="164" fontId="26" fillId="0" borderId="14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43" fillId="0" borderId="0" xfId="0" applyFont="1"/>
    <xf numFmtId="0" fontId="41" fillId="0" borderId="0" xfId="0" applyFont="1" applyAlignment="1">
      <alignment vertical="center"/>
    </xf>
    <xf numFmtId="0" fontId="13" fillId="0" borderId="50" xfId="0" applyFont="1" applyBorder="1" applyAlignment="1">
      <alignment horizontal="left" vertical="center" indent="1"/>
    </xf>
    <xf numFmtId="169" fontId="13" fillId="0" borderId="24" xfId="0" applyNumberFormat="1" applyFont="1" applyBorder="1" applyAlignment="1">
      <alignment horizontal="left" vertical="center" indent="3"/>
    </xf>
    <xf numFmtId="170" fontId="13" fillId="0" borderId="6" xfId="0" applyNumberFormat="1" applyFont="1" applyBorder="1" applyAlignment="1">
      <alignment horizontal="left" vertical="center" indent="3"/>
    </xf>
    <xf numFmtId="170" fontId="13" fillId="0" borderId="11" xfId="0" applyNumberFormat="1" applyFont="1" applyBorder="1" applyAlignment="1">
      <alignment horizontal="left" vertical="center" indent="3"/>
    </xf>
    <xf numFmtId="170" fontId="13" fillId="0" borderId="50" xfId="0" applyNumberFormat="1" applyFont="1" applyBorder="1" applyAlignment="1">
      <alignment horizontal="left" vertical="center" indent="3"/>
    </xf>
    <xf numFmtId="170" fontId="13" fillId="0" borderId="24" xfId="0" applyNumberFormat="1" applyFont="1" applyBorder="1" applyAlignment="1">
      <alignment horizontal="left" vertical="center" indent="3"/>
    </xf>
    <xf numFmtId="0" fontId="22" fillId="5" borderId="14" xfId="0" applyFont="1" applyFill="1" applyBorder="1" applyAlignment="1">
      <alignment horizontal="left" vertical="center" indent="1"/>
    </xf>
    <xf numFmtId="164" fontId="3" fillId="5" borderId="14" xfId="0" applyNumberFormat="1" applyFont="1" applyFill="1" applyBorder="1" applyAlignment="1">
      <alignment horizontal="right" vertical="center"/>
    </xf>
    <xf numFmtId="169" fontId="4" fillId="0" borderId="24" xfId="0" applyNumberFormat="1" applyFont="1" applyBorder="1" applyAlignment="1">
      <alignment horizontal="left" vertical="center" indent="3"/>
    </xf>
    <xf numFmtId="0" fontId="22" fillId="4" borderId="14" xfId="0" applyFont="1" applyFill="1" applyBorder="1" applyAlignment="1">
      <alignment horizontal="left" vertical="center" indent="2"/>
    </xf>
    <xf numFmtId="3" fontId="4" fillId="0" borderId="7" xfId="0" applyNumberFormat="1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0" fontId="15" fillId="4" borderId="0" xfId="0" applyFont="1" applyFill="1" applyAlignment="1">
      <alignment horizontal="left" vertical="center" wrapText="1" indent="2"/>
    </xf>
    <xf numFmtId="10" fontId="4" fillId="0" borderId="7" xfId="0" applyNumberFormat="1" applyFont="1" applyBorder="1" applyAlignment="1">
      <alignment horizontal="left" vertical="center" indent="2"/>
    </xf>
    <xf numFmtId="10" fontId="4" fillId="0" borderId="7" xfId="2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indent="2"/>
    </xf>
    <xf numFmtId="0" fontId="45" fillId="0" borderId="30" xfId="19" applyFont="1" applyBorder="1" applyAlignment="1">
      <alignment horizontal="center" vertical="center"/>
    </xf>
    <xf numFmtId="0" fontId="45" fillId="0" borderId="0" xfId="19" applyFont="1" applyBorder="1" applyAlignment="1">
      <alignment horizontal="center" vertical="center"/>
    </xf>
    <xf numFmtId="164" fontId="4" fillId="0" borderId="8" xfId="1" applyNumberFormat="1" applyFont="1" applyBorder="1" applyAlignment="1">
      <alignment vertical="center"/>
    </xf>
    <xf numFmtId="0" fontId="4" fillId="0" borderId="8" xfId="0" applyFont="1" applyBorder="1" applyAlignment="1">
      <alignment horizontal="left" vertical="center" indent="1"/>
    </xf>
    <xf numFmtId="169" fontId="13" fillId="0" borderId="8" xfId="2" applyNumberFormat="1" applyFont="1" applyBorder="1" applyAlignment="1">
      <alignment horizontal="center" vertical="center"/>
    </xf>
    <xf numFmtId="0" fontId="3" fillId="4" borderId="18" xfId="0" applyFont="1" applyFill="1" applyBorder="1" applyAlignment="1">
      <alignment horizontal="left" vertical="center" indent="1"/>
    </xf>
    <xf numFmtId="164" fontId="13" fillId="0" borderId="8" xfId="1" applyNumberFormat="1" applyFont="1" applyBorder="1" applyAlignment="1">
      <alignment vertical="center"/>
    </xf>
    <xf numFmtId="164" fontId="13" fillId="0" borderId="9" xfId="1" applyNumberFormat="1" applyFont="1" applyBorder="1" applyAlignment="1">
      <alignment vertical="center"/>
    </xf>
    <xf numFmtId="164" fontId="25" fillId="0" borderId="14" xfId="1" applyNumberFormat="1" applyFont="1" applyBorder="1" applyAlignment="1">
      <alignment vertical="center"/>
    </xf>
    <xf numFmtId="164" fontId="3" fillId="4" borderId="14" xfId="1" applyNumberFormat="1" applyFont="1" applyFill="1" applyBorder="1" applyAlignment="1">
      <alignment vertical="center"/>
    </xf>
    <xf numFmtId="0" fontId="22" fillId="4" borderId="51" xfId="0" applyFont="1" applyFill="1" applyBorder="1" applyAlignment="1">
      <alignment horizontal="left" vertical="center" wrapText="1" indent="1"/>
    </xf>
    <xf numFmtId="169" fontId="13" fillId="0" borderId="9" xfId="2" applyNumberFormat="1" applyFont="1" applyBorder="1" applyAlignment="1">
      <alignment horizontal="center" vertical="center"/>
    </xf>
    <xf numFmtId="164" fontId="3" fillId="4" borderId="18" xfId="1" applyNumberFormat="1" applyFont="1" applyFill="1" applyBorder="1" applyAlignment="1">
      <alignment vertical="center"/>
    </xf>
    <xf numFmtId="169" fontId="3" fillId="4" borderId="18" xfId="2" applyNumberFormat="1" applyFont="1" applyFill="1" applyBorder="1" applyAlignment="1">
      <alignment horizontal="center" vertical="center"/>
    </xf>
    <xf numFmtId="169" fontId="3" fillId="4" borderId="14" xfId="2" applyNumberFormat="1" applyFont="1" applyFill="1" applyBorder="1" applyAlignment="1">
      <alignment horizontal="center" vertical="center"/>
    </xf>
    <xf numFmtId="164" fontId="22" fillId="4" borderId="51" xfId="1" applyNumberFormat="1" applyFont="1" applyFill="1" applyBorder="1" applyAlignment="1">
      <alignment vertical="center"/>
    </xf>
    <xf numFmtId="169" fontId="22" fillId="4" borderId="51" xfId="2" applyNumberFormat="1" applyFont="1" applyFill="1" applyBorder="1" applyAlignment="1">
      <alignment horizontal="center" vertical="center"/>
    </xf>
    <xf numFmtId="164" fontId="4" fillId="0" borderId="8" xfId="0" applyNumberFormat="1" applyFont="1" applyBorder="1" applyAlignment="1">
      <alignment horizontal="left" vertical="center" indent="2"/>
    </xf>
    <xf numFmtId="0" fontId="41" fillId="4" borderId="14" xfId="0" applyFont="1" applyFill="1" applyBorder="1" applyAlignment="1">
      <alignment horizontal="left" vertical="center" indent="1"/>
    </xf>
    <xf numFmtId="164" fontId="22" fillId="4" borderId="18" xfId="1" applyNumberFormat="1" applyFont="1" applyFill="1" applyBorder="1" applyAlignment="1">
      <alignment vertical="center"/>
    </xf>
    <xf numFmtId="164" fontId="25" fillId="0" borderId="18" xfId="0" applyNumberFormat="1" applyFont="1" applyBorder="1" applyAlignment="1">
      <alignment horizontal="left" vertical="center" indent="2"/>
    </xf>
    <xf numFmtId="0" fontId="22" fillId="4" borderId="18" xfId="0" applyFont="1" applyFill="1" applyBorder="1" applyAlignment="1">
      <alignment horizontal="left" vertical="center" wrapText="1" indent="1"/>
    </xf>
    <xf numFmtId="0" fontId="47" fillId="0" borderId="0" xfId="0" applyFont="1" applyAlignment="1">
      <alignment vertical="center"/>
    </xf>
    <xf numFmtId="164" fontId="25" fillId="0" borderId="25" xfId="0" applyNumberFormat="1" applyFont="1" applyBorder="1" applyAlignment="1">
      <alignment horizontal="left" vertical="center" indent="1"/>
    </xf>
    <xf numFmtId="170" fontId="13" fillId="0" borderId="50" xfId="0" applyNumberFormat="1" applyFont="1" applyBorder="1" applyAlignment="1">
      <alignment horizontal="left" vertical="center" indent="2"/>
    </xf>
    <xf numFmtId="0" fontId="3" fillId="0" borderId="0" xfId="0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center" indent="3"/>
    </xf>
    <xf numFmtId="164" fontId="4" fillId="0" borderId="0" xfId="1" applyNumberFormat="1" applyFont="1" applyFill="1" applyBorder="1" applyAlignment="1">
      <alignment horizontal="left" vertical="center" indent="3"/>
    </xf>
    <xf numFmtId="169" fontId="4" fillId="0" borderId="0" xfId="2" applyNumberFormat="1" applyFont="1" applyFill="1" applyBorder="1" applyAlignment="1">
      <alignment horizontal="center" vertical="center"/>
    </xf>
    <xf numFmtId="169" fontId="4" fillId="0" borderId="0" xfId="0" applyNumberFormat="1" applyFont="1" applyAlignment="1">
      <alignment horizontal="right" vertical="center"/>
    </xf>
    <xf numFmtId="164" fontId="13" fillId="0" borderId="0" xfId="1" applyNumberFormat="1" applyFont="1" applyFill="1" applyBorder="1" applyAlignment="1">
      <alignment horizontal="right" vertical="center" indent="3"/>
    </xf>
    <xf numFmtId="169" fontId="13" fillId="0" borderId="0" xfId="2" applyNumberFormat="1" applyFont="1" applyFill="1" applyBorder="1" applyAlignment="1">
      <alignment horizontal="center" vertical="center"/>
    </xf>
    <xf numFmtId="169" fontId="13" fillId="0" borderId="0" xfId="0" applyNumberFormat="1" applyFont="1" applyAlignment="1">
      <alignment horizontal="right" vertical="center"/>
    </xf>
    <xf numFmtId="169" fontId="4" fillId="0" borderId="0" xfId="1" applyNumberFormat="1" applyFont="1" applyFill="1" applyBorder="1" applyAlignment="1">
      <alignment horizontal="right" vertical="center" indent="3"/>
    </xf>
    <xf numFmtId="164" fontId="38" fillId="0" borderId="0" xfId="1" applyNumberFormat="1" applyFont="1" applyFill="1" applyBorder="1" applyAlignment="1">
      <alignment horizontal="right" vertical="center" indent="3"/>
    </xf>
    <xf numFmtId="164" fontId="38" fillId="0" borderId="0" xfId="1" applyNumberFormat="1" applyFont="1" applyFill="1" applyBorder="1" applyAlignment="1">
      <alignment horizontal="left" vertical="center" indent="3"/>
    </xf>
    <xf numFmtId="169" fontId="38" fillId="0" borderId="0" xfId="2" applyNumberFormat="1" applyFont="1" applyFill="1" applyBorder="1" applyAlignment="1">
      <alignment horizontal="center" vertical="center"/>
    </xf>
    <xf numFmtId="169" fontId="38" fillId="0" borderId="0" xfId="1" applyNumberFormat="1" applyFont="1" applyFill="1" applyBorder="1" applyAlignment="1">
      <alignment horizontal="right" vertical="center" indent="3"/>
    </xf>
    <xf numFmtId="169" fontId="15" fillId="0" borderId="0" xfId="2" applyNumberFormat="1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vertical="center"/>
    </xf>
    <xf numFmtId="0" fontId="8" fillId="0" borderId="11" xfId="0" applyFont="1" applyBorder="1" applyAlignment="1">
      <alignment horizontal="left" vertical="center" indent="2"/>
    </xf>
    <xf numFmtId="3" fontId="14" fillId="0" borderId="0" xfId="0" applyNumberFormat="1" applyFont="1" applyAlignment="1">
      <alignment vertical="center"/>
    </xf>
    <xf numFmtId="0" fontId="8" fillId="0" borderId="6" xfId="0" applyFont="1" applyBorder="1" applyAlignment="1">
      <alignment horizontal="left" vertical="center" indent="2"/>
    </xf>
    <xf numFmtId="3" fontId="0" fillId="0" borderId="0" xfId="0" applyNumberFormat="1" applyAlignment="1">
      <alignment vertical="center"/>
    </xf>
    <xf numFmtId="0" fontId="3" fillId="4" borderId="4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indent="2"/>
    </xf>
    <xf numFmtId="0" fontId="0" fillId="6" borderId="0" xfId="0" applyFill="1" applyAlignment="1">
      <alignment vertical="center"/>
    </xf>
    <xf numFmtId="0" fontId="2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indent="1"/>
    </xf>
    <xf numFmtId="164" fontId="41" fillId="4" borderId="51" xfId="1" applyNumberFormat="1" applyFont="1" applyFill="1" applyBorder="1" applyAlignment="1">
      <alignment vertical="center"/>
    </xf>
    <xf numFmtId="169" fontId="22" fillId="4" borderId="18" xfId="1" applyNumberFormat="1" applyFont="1" applyFill="1" applyBorder="1" applyAlignment="1">
      <alignment vertical="center"/>
    </xf>
    <xf numFmtId="0" fontId="25" fillId="5" borderId="14" xfId="0" applyFont="1" applyFill="1" applyBorder="1" applyAlignment="1">
      <alignment horizontal="left" vertical="center" indent="1"/>
    </xf>
    <xf numFmtId="169" fontId="2" fillId="0" borderId="15" xfId="0" applyNumberFormat="1" applyFont="1" applyBorder="1" applyAlignment="1">
      <alignment horizontal="left" vertical="center"/>
    </xf>
    <xf numFmtId="169" fontId="0" fillId="0" borderId="0" xfId="0" applyNumberFormat="1" applyAlignment="1">
      <alignment vertical="center"/>
    </xf>
    <xf numFmtId="169" fontId="2" fillId="0" borderId="15" xfId="0" applyNumberFormat="1" applyFont="1" applyBorder="1" applyAlignment="1">
      <alignment horizontal="left" vertical="center" indent="1"/>
    </xf>
    <xf numFmtId="169" fontId="2" fillId="0" borderId="27" xfId="0" applyNumberFormat="1" applyFont="1" applyBorder="1" applyAlignment="1">
      <alignment horizontal="left" vertical="center" indent="1"/>
    </xf>
    <xf numFmtId="10" fontId="4" fillId="0" borderId="30" xfId="2" applyNumberFormat="1" applyFont="1" applyBorder="1" applyAlignment="1">
      <alignment vertical="center"/>
    </xf>
    <xf numFmtId="10" fontId="4" fillId="0" borderId="30" xfId="2" applyNumberFormat="1" applyFont="1" applyBorder="1" applyAlignment="1">
      <alignment horizontal="right" vertical="center" indent="1"/>
    </xf>
    <xf numFmtId="10" fontId="4" fillId="0" borderId="7" xfId="2" applyNumberFormat="1" applyFont="1" applyBorder="1" applyAlignment="1">
      <alignment vertical="center"/>
    </xf>
    <xf numFmtId="10" fontId="4" fillId="0" borderId="7" xfId="2" applyNumberFormat="1" applyFont="1" applyBorder="1" applyAlignment="1">
      <alignment horizontal="right" vertical="center" inden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164" fontId="13" fillId="0" borderId="9" xfId="1" applyNumberFormat="1" applyFont="1" applyBorder="1" applyAlignment="1">
      <alignment horizontal="left" vertical="center" indent="3"/>
    </xf>
    <xf numFmtId="0" fontId="4" fillId="0" borderId="8" xfId="0" applyFont="1" applyBorder="1" applyAlignment="1">
      <alignment horizontal="left" vertical="center" indent="2"/>
    </xf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72" fontId="4" fillId="0" borderId="8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 indent="3"/>
    </xf>
    <xf numFmtId="0" fontId="18" fillId="0" borderId="11" xfId="0" applyFont="1" applyBorder="1" applyAlignment="1">
      <alignment horizontal="left" vertical="center"/>
    </xf>
    <xf numFmtId="165" fontId="18" fillId="0" borderId="11" xfId="0" applyNumberFormat="1" applyFont="1" applyBorder="1" applyAlignment="1">
      <alignment vertical="center"/>
    </xf>
    <xf numFmtId="168" fontId="18" fillId="0" borderId="11" xfId="0" applyNumberFormat="1" applyFont="1" applyBorder="1" applyAlignment="1">
      <alignment horizontal="center" vertical="center"/>
    </xf>
    <xf numFmtId="166" fontId="18" fillId="0" borderId="11" xfId="0" applyNumberFormat="1" applyFont="1" applyBorder="1" applyAlignment="1">
      <alignment horizontal="center" vertical="center"/>
    </xf>
    <xf numFmtId="166" fontId="18" fillId="0" borderId="11" xfId="2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 indent="3"/>
    </xf>
    <xf numFmtId="0" fontId="18" fillId="0" borderId="8" xfId="0" applyFont="1" applyBorder="1" applyAlignment="1">
      <alignment horizontal="left" vertical="center"/>
    </xf>
    <xf numFmtId="165" fontId="18" fillId="0" borderId="8" xfId="0" applyNumberFormat="1" applyFont="1" applyBorder="1" applyAlignment="1">
      <alignment vertical="center"/>
    </xf>
    <xf numFmtId="0" fontId="51" fillId="0" borderId="0" xfId="0" applyFont="1" applyAlignment="1">
      <alignment vertical="center"/>
    </xf>
    <xf numFmtId="164" fontId="13" fillId="0" borderId="52" xfId="0" applyNumberFormat="1" applyFont="1" applyBorder="1" applyAlignment="1">
      <alignment vertical="center"/>
    </xf>
    <xf numFmtId="164" fontId="4" fillId="0" borderId="47" xfId="0" applyNumberFormat="1" applyFont="1" applyBorder="1" applyAlignment="1">
      <alignment vertical="center"/>
    </xf>
    <xf numFmtId="43" fontId="0" fillId="0" borderId="0" xfId="0" applyNumberFormat="1" applyAlignment="1">
      <alignment vertical="center"/>
    </xf>
    <xf numFmtId="0" fontId="25" fillId="0" borderId="0" xfId="0" applyFont="1" applyAlignment="1">
      <alignment horizontal="left" vertical="center" indent="1"/>
    </xf>
    <xf numFmtId="164" fontId="25" fillId="0" borderId="0" xfId="0" applyNumberFormat="1" applyFont="1" applyAlignment="1">
      <alignment horizontal="right" vertical="center"/>
    </xf>
    <xf numFmtId="164" fontId="4" fillId="0" borderId="39" xfId="0" applyNumberFormat="1" applyFont="1" applyBorder="1" applyAlignment="1">
      <alignment horizontal="left" vertical="center" indent="1"/>
    </xf>
    <xf numFmtId="164" fontId="4" fillId="0" borderId="5" xfId="0" applyNumberFormat="1" applyFont="1" applyBorder="1" applyAlignment="1">
      <alignment horizontal="left" vertical="center" indent="3"/>
    </xf>
    <xf numFmtId="0" fontId="4" fillId="0" borderId="28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2"/>
    </xf>
    <xf numFmtId="0" fontId="3" fillId="4" borderId="0" xfId="0" applyFont="1" applyFill="1" applyAlignment="1">
      <alignment horizontal="left" vertical="center" indent="2"/>
    </xf>
    <xf numFmtId="0" fontId="4" fillId="0" borderId="30" xfId="0" applyFont="1" applyBorder="1" applyAlignment="1">
      <alignment horizontal="left" vertical="center" indent="3"/>
    </xf>
    <xf numFmtId="169" fontId="4" fillId="0" borderId="7" xfId="1" applyNumberFormat="1" applyFont="1" applyBorder="1" applyAlignment="1">
      <alignment horizontal="right" vertical="center" indent="3"/>
    </xf>
    <xf numFmtId="169" fontId="4" fillId="0" borderId="29" xfId="1" applyNumberFormat="1" applyFont="1" applyBorder="1" applyAlignment="1">
      <alignment horizontal="right" vertical="center" indent="3"/>
    </xf>
    <xf numFmtId="169" fontId="25" fillId="0" borderId="14" xfId="1" applyNumberFormat="1" applyFont="1" applyBorder="1" applyAlignment="1">
      <alignment horizontal="right" vertical="center"/>
    </xf>
    <xf numFmtId="0" fontId="52" fillId="0" borderId="28" xfId="0" applyFont="1" applyBorder="1" applyAlignment="1">
      <alignment horizontal="left" vertical="center" indent="3"/>
    </xf>
    <xf numFmtId="169" fontId="53" fillId="0" borderId="11" xfId="0" applyNumberFormat="1" applyFont="1" applyBorder="1" applyAlignment="1">
      <alignment horizontal="left" vertical="center" indent="3"/>
    </xf>
    <xf numFmtId="164" fontId="53" fillId="0" borderId="11" xfId="0" applyNumberFormat="1" applyFont="1" applyBorder="1" applyAlignment="1">
      <alignment horizontal="left" vertical="center" indent="3"/>
    </xf>
    <xf numFmtId="164" fontId="53" fillId="0" borderId="6" xfId="0" applyNumberFormat="1" applyFont="1" applyBorder="1" applyAlignment="1">
      <alignment horizontal="left" vertical="center" indent="3"/>
    </xf>
    <xf numFmtId="0" fontId="53" fillId="0" borderId="7" xfId="0" applyFont="1" applyBorder="1" applyAlignment="1">
      <alignment horizontal="left" vertical="center" indent="2"/>
    </xf>
    <xf numFmtId="170" fontId="54" fillId="0" borderId="7" xfId="0" applyNumberFormat="1" applyFont="1" applyBorder="1" applyAlignment="1">
      <alignment horizontal="left" vertical="center" indent="1"/>
    </xf>
    <xf numFmtId="0" fontId="56" fillId="0" borderId="0" xfId="0" applyFont="1" applyAlignment="1">
      <alignment horizontal="left" vertical="center" indent="1"/>
    </xf>
    <xf numFmtId="0" fontId="56" fillId="0" borderId="0" xfId="0" applyFont="1" applyAlignment="1">
      <alignment horizontal="right" vertical="center" indent="1"/>
    </xf>
    <xf numFmtId="0" fontId="55" fillId="0" borderId="0" xfId="0" applyFont="1" applyAlignment="1">
      <alignment horizontal="left" vertical="center" indent="1"/>
    </xf>
    <xf numFmtId="164" fontId="53" fillId="0" borderId="0" xfId="0" applyNumberFormat="1" applyFont="1" applyAlignment="1">
      <alignment horizontal="left" vertical="center" indent="3"/>
    </xf>
    <xf numFmtId="0" fontId="53" fillId="0" borderId="0" xfId="0" applyFont="1" applyAlignment="1">
      <alignment horizontal="left" vertical="center" indent="2"/>
    </xf>
    <xf numFmtId="0" fontId="55" fillId="0" borderId="7" xfId="0" applyFont="1" applyBorder="1" applyAlignment="1">
      <alignment horizontal="left" vertical="center" indent="2"/>
    </xf>
    <xf numFmtId="0" fontId="53" fillId="0" borderId="7" xfId="0" applyFont="1" applyBorder="1" applyAlignment="1">
      <alignment horizontal="left" vertical="center" indent="3"/>
    </xf>
    <xf numFmtId="0" fontId="53" fillId="0" borderId="6" xfId="0" applyFont="1" applyBorder="1" applyAlignment="1">
      <alignment horizontal="left" vertical="center" indent="2"/>
    </xf>
    <xf numFmtId="171" fontId="53" fillId="0" borderId="7" xfId="0" applyNumberFormat="1" applyFont="1" applyBorder="1" applyAlignment="1">
      <alignment horizontal="left" vertical="center" indent="2"/>
    </xf>
    <xf numFmtId="164" fontId="2" fillId="0" borderId="15" xfId="0" applyNumberFormat="1" applyFont="1" applyBorder="1" applyAlignment="1">
      <alignment horizontal="left" vertical="center"/>
    </xf>
    <xf numFmtId="164" fontId="2" fillId="0" borderId="27" xfId="0" applyNumberFormat="1" applyFont="1" applyBorder="1" applyAlignment="1">
      <alignment horizontal="left" vertical="center"/>
    </xf>
    <xf numFmtId="164" fontId="53" fillId="0" borderId="11" xfId="0" applyNumberFormat="1" applyFont="1" applyBorder="1" applyAlignment="1">
      <alignment horizontal="left" vertical="center" indent="2"/>
    </xf>
    <xf numFmtId="171" fontId="53" fillId="0" borderId="7" xfId="0" applyNumberFormat="1" applyFont="1" applyBorder="1" applyAlignment="1">
      <alignment horizontal="left" vertical="center" indent="1"/>
    </xf>
    <xf numFmtId="164" fontId="57" fillId="0" borderId="18" xfId="0" applyNumberFormat="1" applyFont="1" applyBorder="1" applyAlignment="1">
      <alignment horizontal="left" vertical="center" indent="2"/>
    </xf>
    <xf numFmtId="164" fontId="58" fillId="4" borderId="18" xfId="1" applyNumberFormat="1" applyFont="1" applyFill="1" applyBorder="1" applyAlignment="1">
      <alignment vertical="center"/>
    </xf>
    <xf numFmtId="167" fontId="33" fillId="4" borderId="14" xfId="0" applyNumberFormat="1" applyFont="1" applyFill="1" applyBorder="1" applyAlignment="1">
      <alignment horizontal="center" vertical="center" wrapText="1"/>
    </xf>
    <xf numFmtId="0" fontId="59" fillId="4" borderId="0" xfId="0" applyFont="1" applyFill="1" applyAlignment="1">
      <alignment horizontal="left" vertical="center" indent="1"/>
    </xf>
    <xf numFmtId="0" fontId="53" fillId="0" borderId="11" xfId="0" applyFont="1" applyBorder="1" applyAlignment="1">
      <alignment horizontal="left" vertical="center" indent="1"/>
    </xf>
    <xf numFmtId="0" fontId="53" fillId="0" borderId="8" xfId="0" applyFont="1" applyBorder="1" applyAlignment="1">
      <alignment horizontal="left" vertical="center" indent="2"/>
    </xf>
    <xf numFmtId="0" fontId="53" fillId="0" borderId="28" xfId="0" applyFont="1" applyBorder="1" applyAlignment="1">
      <alignment horizontal="left" vertical="center" indent="1"/>
    </xf>
    <xf numFmtId="0" fontId="53" fillId="0" borderId="30" xfId="0" applyFont="1" applyBorder="1" applyAlignment="1">
      <alignment horizontal="left" vertical="center" indent="2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8" fillId="0" borderId="0" xfId="0" applyFont="1" applyAlignment="1">
      <alignment horizontal="left" vertical="center" indent="1"/>
    </xf>
    <xf numFmtId="169" fontId="55" fillId="0" borderId="7" xfId="2" applyNumberFormat="1" applyFont="1" applyBorder="1" applyAlignment="1">
      <alignment horizontal="center" vertical="center"/>
    </xf>
    <xf numFmtId="169" fontId="55" fillId="0" borderId="7" xfId="1" applyNumberFormat="1" applyFont="1" applyBorder="1" applyAlignment="1">
      <alignment horizontal="right" vertical="center" indent="3"/>
    </xf>
    <xf numFmtId="164" fontId="4" fillId="0" borderId="7" xfId="1" applyNumberFormat="1" applyFont="1" applyFill="1" applyBorder="1" applyAlignment="1">
      <alignment vertical="center"/>
    </xf>
    <xf numFmtId="164" fontId="53" fillId="0" borderId="15" xfId="0" applyNumberFormat="1" applyFont="1" applyBorder="1" applyAlignment="1">
      <alignment horizontal="left" vertical="center" indent="1"/>
    </xf>
    <xf numFmtId="164" fontId="53" fillId="0" borderId="7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horizontal="left" vertical="center" indent="2"/>
    </xf>
    <xf numFmtId="0" fontId="17" fillId="3" borderId="0" xfId="0" applyFont="1" applyFill="1" applyAlignment="1">
      <alignment horizontal="left" vertical="center" indent="2"/>
    </xf>
    <xf numFmtId="0" fontId="17" fillId="4" borderId="0" xfId="0" applyFont="1" applyFill="1" applyAlignment="1">
      <alignment horizontal="left" vertical="center" indent="2"/>
    </xf>
    <xf numFmtId="0" fontId="28" fillId="0" borderId="0" xfId="0" applyFont="1" applyAlignment="1">
      <alignment horizontal="right" vertical="center" indent="1"/>
    </xf>
    <xf numFmtId="0" fontId="35" fillId="3" borderId="0" xfId="0" applyFont="1" applyFill="1" applyAlignment="1">
      <alignment horizontal="left" vertical="center" indent="2"/>
    </xf>
    <xf numFmtId="0" fontId="28" fillId="4" borderId="0" xfId="0" applyFont="1" applyFill="1" applyAlignment="1">
      <alignment horizontal="right" vertical="center" indent="1"/>
    </xf>
    <xf numFmtId="0" fontId="3" fillId="4" borderId="0" xfId="0" applyFont="1" applyFill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 indent="2"/>
    </xf>
    <xf numFmtId="164" fontId="22" fillId="4" borderId="18" xfId="0" applyNumberFormat="1" applyFont="1" applyFill="1" applyBorder="1" applyAlignment="1">
      <alignment horizontal="left" vertical="center" indent="1"/>
    </xf>
    <xf numFmtId="164" fontId="22" fillId="4" borderId="0" xfId="0" applyNumberFormat="1" applyFont="1" applyFill="1" applyAlignment="1">
      <alignment horizontal="left" vertical="center" indent="1"/>
    </xf>
    <xf numFmtId="164" fontId="22" fillId="4" borderId="17" xfId="0" applyNumberFormat="1" applyFont="1" applyFill="1" applyBorder="1" applyAlignment="1">
      <alignment horizontal="left" vertical="center" indent="1"/>
    </xf>
    <xf numFmtId="164" fontId="15" fillId="4" borderId="18" xfId="0" applyNumberFormat="1" applyFont="1" applyFill="1" applyBorder="1" applyAlignment="1">
      <alignment horizontal="center" vertical="center" wrapText="1"/>
    </xf>
    <xf numFmtId="164" fontId="15" fillId="4" borderId="0" xfId="0" applyNumberFormat="1" applyFont="1" applyFill="1" applyAlignment="1">
      <alignment horizontal="center" vertical="center" wrapText="1"/>
    </xf>
    <xf numFmtId="164" fontId="15" fillId="4" borderId="17" xfId="0" applyNumberFormat="1" applyFont="1" applyFill="1" applyBorder="1" applyAlignment="1">
      <alignment horizontal="center" vertical="center" wrapText="1"/>
    </xf>
    <xf numFmtId="164" fontId="15" fillId="4" borderId="22" xfId="0" applyNumberFormat="1" applyFont="1" applyFill="1" applyBorder="1" applyAlignment="1">
      <alignment horizontal="center" vertical="center" wrapText="1"/>
    </xf>
    <xf numFmtId="164" fontId="15" fillId="4" borderId="3" xfId="0" applyNumberFormat="1" applyFont="1" applyFill="1" applyBorder="1" applyAlignment="1">
      <alignment horizontal="center" vertical="center" wrapText="1"/>
    </xf>
    <xf numFmtId="164" fontId="15" fillId="4" borderId="23" xfId="0" applyNumberFormat="1" applyFont="1" applyFill="1" applyBorder="1" applyAlignment="1">
      <alignment horizontal="center" vertical="center" wrapText="1"/>
    </xf>
    <xf numFmtId="164" fontId="15" fillId="4" borderId="19" xfId="0" applyNumberFormat="1" applyFont="1" applyFill="1" applyBorder="1" applyAlignment="1">
      <alignment horizontal="center" vertical="center"/>
    </xf>
    <xf numFmtId="14" fontId="15" fillId="4" borderId="17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indent="2"/>
    </xf>
    <xf numFmtId="0" fontId="28" fillId="3" borderId="0" xfId="0" applyFont="1" applyFill="1" applyAlignment="1">
      <alignment horizontal="left" vertical="center" indent="2"/>
    </xf>
    <xf numFmtId="9" fontId="18" fillId="0" borderId="7" xfId="2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 indent="1"/>
    </xf>
    <xf numFmtId="0" fontId="35" fillId="3" borderId="0" xfId="0" applyFont="1" applyFill="1" applyAlignment="1">
      <alignment horizontal="left" vertical="center" indent="1"/>
    </xf>
    <xf numFmtId="0" fontId="3" fillId="4" borderId="14" xfId="0" applyFont="1" applyFill="1" applyBorder="1" applyAlignment="1">
      <alignment horizontal="center" vertical="center" wrapText="1"/>
    </xf>
    <xf numFmtId="9" fontId="18" fillId="0" borderId="28" xfId="2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3" fillId="4" borderId="14" xfId="0" applyFont="1" applyFill="1" applyBorder="1" applyAlignment="1">
      <alignment horizontal="center" vertical="center" wrapText="1"/>
    </xf>
    <xf numFmtId="9" fontId="18" fillId="0" borderId="29" xfId="2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50" fillId="3" borderId="0" xfId="0" applyFont="1" applyFill="1" applyAlignment="1">
      <alignment horizontal="left" vertical="center" indent="1"/>
    </xf>
    <xf numFmtId="0" fontId="22" fillId="4" borderId="0" xfId="0" applyFont="1" applyFill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41" fillId="4" borderId="2" xfId="0" applyFont="1" applyFill="1" applyBorder="1" applyAlignment="1">
      <alignment horizontal="center" vertical="center"/>
    </xf>
    <xf numFmtId="0" fontId="45" fillId="0" borderId="30" xfId="19" applyFont="1" applyBorder="1" applyAlignment="1">
      <alignment horizontal="center" vertical="center"/>
    </xf>
    <xf numFmtId="0" fontId="49" fillId="0" borderId="0" xfId="0" applyFont="1" applyAlignment="1">
      <alignment horizontal="left" vertical="center" indent="1"/>
    </xf>
    <xf numFmtId="0" fontId="4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left" vertical="center" indent="2"/>
    </xf>
    <xf numFmtId="0" fontId="60" fillId="4" borderId="0" xfId="0" applyFont="1" applyFill="1" applyAlignment="1">
      <alignment horizontal="left" vertical="center" indent="2"/>
    </xf>
    <xf numFmtId="164" fontId="4" fillId="0" borderId="0" xfId="0" applyNumberFormat="1" applyFont="1" applyBorder="1" applyAlignment="1">
      <alignment horizontal="left" vertical="center"/>
    </xf>
  </cellXfs>
  <cellStyles count="20">
    <cellStyle name="Estilo 1" xfId="6" xr:uid="{00000000-0005-0000-0000-000000000000}"/>
    <cellStyle name="Hiperlink" xfId="19" builtinId="8"/>
    <cellStyle name="Normal" xfId="0" builtinId="0"/>
    <cellStyle name="Normal 2" xfId="10" xr:uid="{929E576D-EC29-4ECA-B897-658D68C6951A}"/>
    <cellStyle name="Normal 2 2" xfId="7" xr:uid="{00000000-0005-0000-0000-000002000000}"/>
    <cellStyle name="Normal 3" xfId="3" xr:uid="{00000000-0005-0000-0000-000003000000}"/>
    <cellStyle name="Porcentagem" xfId="2" builtinId="5"/>
    <cellStyle name="Porcentagem 2" xfId="5" xr:uid="{00000000-0005-0000-0000-000005000000}"/>
    <cellStyle name="Vírgula" xfId="1" builtinId="3"/>
    <cellStyle name="Vírgula 2" xfId="4" xr:uid="{00000000-0005-0000-0000-000007000000}"/>
    <cellStyle name="Vírgula 2 2" xfId="12" xr:uid="{B4C2354F-82EC-4547-9E06-7526A2834902}"/>
    <cellStyle name="Vírgula 2 2 2" xfId="18" xr:uid="{747F28E3-898C-4ABC-A309-BC1BFBC6731F}"/>
    <cellStyle name="Vírgula 2 3" xfId="9" xr:uid="{93E6002B-44EE-4FB4-AD9C-8F18EA3E1D14}"/>
    <cellStyle name="Vírgula 2 3 2" xfId="16" xr:uid="{891456EF-A092-4530-A2B5-827F994B13D3}"/>
    <cellStyle name="Vírgula 2 4" xfId="14" xr:uid="{59A82E83-527A-4ED8-BB0A-FBD8EE8EFADE}"/>
    <cellStyle name="Vírgula 3" xfId="11" xr:uid="{0E17E118-FD36-46B9-B753-34BE4A35E018}"/>
    <cellStyle name="Vírgula 3 2" xfId="17" xr:uid="{7BE3E65E-3C25-4BB4-928A-2A4E2B97614E}"/>
    <cellStyle name="Vírgula 4" xfId="8" xr:uid="{6007A312-5541-49DD-A91A-2D25CBA4C9D3}"/>
    <cellStyle name="Vírgula 4 2" xfId="15" xr:uid="{D04CBD79-7557-43E3-A5B4-23BB07E9B03A}"/>
    <cellStyle name="Vírgula 5" xfId="13" xr:uid="{9E892DB8-E0A2-4644-BFEC-4413AE272864}"/>
  </cellStyles>
  <dxfs count="0"/>
  <tableStyles count="1" defaultTableStyle="TableStyleMedium2" defaultPivotStyle="PivotStyleLight16">
    <tableStyle name="Estilo de Segmentação de Dados 1" pivot="0" table="0" count="4" xr9:uid="{288EDA82-3582-4413-97FF-DC2C3FBAD386}"/>
  </tableStyles>
  <colors>
    <mruColors>
      <color rgb="FF17772E"/>
      <color rgb="FF105420"/>
      <color rgb="FF37473C"/>
      <color rgb="FFCCFFCC"/>
      <color rgb="FF339966"/>
      <color rgb="FF00CC99"/>
      <color rgb="FF009999"/>
      <color rgb="FFE8FFD5"/>
      <color rgb="FF0B3715"/>
      <color rgb="FF171A14"/>
    </mruColors>
  </colors>
  <extLst>
    <ext xmlns:x14="http://schemas.microsoft.com/office/spreadsheetml/2009/9/main" uri="{46F421CA-312F-682f-3DD2-61675219B42D}">
      <x14:dxfs count="4">
        <dxf>
          <font>
            <b/>
            <i val="0"/>
            <sz val="11"/>
            <color theme="0"/>
            <name val="Arial"/>
            <family val="2"/>
            <scheme val="none"/>
          </font>
          <fill>
            <patternFill>
              <bgColor rgb="FF17772E"/>
            </patternFill>
          </fill>
        </dxf>
        <dxf>
          <fill>
            <patternFill>
              <bgColor rgb="FFB9E1C4"/>
            </patternFill>
          </fill>
        </dxf>
        <dxf>
          <font>
            <b/>
            <i val="0"/>
            <sz val="11"/>
            <color theme="0"/>
            <name val="Arial"/>
            <family val="2"/>
            <scheme val="none"/>
          </font>
          <fill>
            <patternFill>
              <bgColor rgb="FF17772E"/>
            </patternFill>
          </fill>
        </dxf>
        <dxf>
          <fill>
            <patternFill>
              <bgColor theme="0" tint="-4.9989318521683403E-2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ção de Dados 1">
          <x14:slicerStyleElements>
            <x14:slicerStyleElement type="unselectedItemWithData" dxfId="3"/>
            <x14:slicerStyleElement type="selectedItemWithData" dxfId="2"/>
            <x14:slicerStyleElement type="hoveredUnselectedItemWithData" dxfId="1"/>
            <x14:slicerStyleElement type="hovered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13" Type="http://schemas.openxmlformats.org/officeDocument/2006/relationships/hyperlink" Target="#BP!A1"/><Relationship Id="rId18" Type="http://schemas.openxmlformats.org/officeDocument/2006/relationships/hyperlink" Target="#Investimentos!A1"/><Relationship Id="rId3" Type="http://schemas.openxmlformats.org/officeDocument/2006/relationships/image" Target="../media/image2.png"/><Relationship Id="rId21" Type="http://schemas.openxmlformats.org/officeDocument/2006/relationships/hyperlink" Target="#'Indicadores CEMIG D'!A1"/><Relationship Id="rId7" Type="http://schemas.openxmlformats.org/officeDocument/2006/relationships/image" Target="../media/image5.png"/><Relationship Id="rId12" Type="http://schemas.openxmlformats.org/officeDocument/2006/relationships/hyperlink" Target="#EBITDA!A1"/><Relationship Id="rId17" Type="http://schemas.openxmlformats.org/officeDocument/2006/relationships/hyperlink" Target="#'DRE por segmento'!A1"/><Relationship Id="rId25" Type="http://schemas.openxmlformats.org/officeDocument/2006/relationships/hyperlink" Target="#'Vendas por classe'!A1"/><Relationship Id="rId2" Type="http://schemas.microsoft.com/office/2007/relationships/hdphoto" Target="../media/hdphoto1.wdp"/><Relationship Id="rId16" Type="http://schemas.openxmlformats.org/officeDocument/2006/relationships/hyperlink" Target="#Endividamento!A1"/><Relationship Id="rId20" Type="http://schemas.openxmlformats.org/officeDocument/2006/relationships/hyperlink" Target="#RAP!A1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hyperlink" Target="#DRE!A1"/><Relationship Id="rId24" Type="http://schemas.openxmlformats.org/officeDocument/2006/relationships/hyperlink" Target="#Usinas!A1"/><Relationship Id="rId5" Type="http://schemas.microsoft.com/office/2007/relationships/hdphoto" Target="../media/hdphoto2.wdp"/><Relationship Id="rId15" Type="http://schemas.openxmlformats.org/officeDocument/2006/relationships/hyperlink" Target="#'Resultado financeiro'!A1"/><Relationship Id="rId23" Type="http://schemas.openxmlformats.org/officeDocument/2006/relationships/hyperlink" Target="#'Energia comprada para revenda'!A1"/><Relationship Id="rId10" Type="http://schemas.microsoft.com/office/2007/relationships/hdphoto" Target="../media/hdphoto4.wdp"/><Relationship Id="rId19" Type="http://schemas.openxmlformats.org/officeDocument/2006/relationships/hyperlink" Target="#'CEMIG D'!A1"/><Relationship Id="rId4" Type="http://schemas.openxmlformats.org/officeDocument/2006/relationships/image" Target="../media/image3.png"/><Relationship Id="rId9" Type="http://schemas.openxmlformats.org/officeDocument/2006/relationships/image" Target="../media/image6.png"/><Relationship Id="rId14" Type="http://schemas.openxmlformats.org/officeDocument/2006/relationships/hyperlink" Target="#DFC!A1"/><Relationship Id="rId22" Type="http://schemas.openxmlformats.org/officeDocument/2006/relationships/hyperlink" Target="#'Balan&#231;o de Energia'!A1"/></Relationships>
</file>

<file path=xl/drawings/_rels/drawing10.xml.rels><?xml version="1.0" encoding="UTF-8" standalone="yes"?>
<Relationships xmlns="http://schemas.openxmlformats.org/package/2006/relationships"><Relationship Id="rId3" Type="http://schemas.microsoft.com/office/2007/relationships/hdphoto" Target="../media/hdphoto4.wdp"/><Relationship Id="rId2" Type="http://schemas.openxmlformats.org/officeDocument/2006/relationships/image" Target="../media/image10.png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5.wdp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Vendas por classe'!A2038"/><Relationship Id="rId13" Type="http://schemas.openxmlformats.org/officeDocument/2006/relationships/hyperlink" Target="#'Vendas por classe'!CR348"/><Relationship Id="rId3" Type="http://schemas.openxmlformats.org/officeDocument/2006/relationships/hyperlink" Target="#MENU!A1"/><Relationship Id="rId7" Type="http://schemas.openxmlformats.org/officeDocument/2006/relationships/hyperlink" Target="#'Vendas por classe'!B7"/><Relationship Id="rId12" Type="http://schemas.openxmlformats.org/officeDocument/2006/relationships/hyperlink" Target="#'Vendas por classe'!B2020"/><Relationship Id="rId17" Type="http://schemas.openxmlformats.org/officeDocument/2006/relationships/hyperlink" Target="#'Vendas por classe'!A3047"/><Relationship Id="rId2" Type="http://schemas.microsoft.com/office/2007/relationships/hdphoto" Target="../media/hdphoto5.wdp"/><Relationship Id="rId16" Type="http://schemas.openxmlformats.org/officeDocument/2006/relationships/hyperlink" Target="#'Vendas por classe'!A2035"/><Relationship Id="rId1" Type="http://schemas.openxmlformats.org/officeDocument/2006/relationships/image" Target="../media/image7.png"/><Relationship Id="rId6" Type="http://schemas.microsoft.com/office/2007/relationships/hdphoto" Target="../media/hdphoto8.wdp"/><Relationship Id="rId11" Type="http://schemas.openxmlformats.org/officeDocument/2006/relationships/hyperlink" Target="#'Vendas por classe'!A1"/><Relationship Id="rId5" Type="http://schemas.openxmlformats.org/officeDocument/2006/relationships/image" Target="../media/image11.png"/><Relationship Id="rId15" Type="http://schemas.openxmlformats.org/officeDocument/2006/relationships/hyperlink" Target="#'Vendas por classe'!B3047"/><Relationship Id="rId10" Type="http://schemas.openxmlformats.org/officeDocument/2006/relationships/hyperlink" Target="#'Vendas por classe'!CR302"/><Relationship Id="rId4" Type="http://schemas.openxmlformats.org/officeDocument/2006/relationships/hyperlink" Target="#'Vendas por classe'!CR280"/><Relationship Id="rId9" Type="http://schemas.openxmlformats.org/officeDocument/2006/relationships/hyperlink" Target="#'Vendas por classe'!A3050"/><Relationship Id="rId14" Type="http://schemas.openxmlformats.org/officeDocument/2006/relationships/hyperlink" Target="#'Vendas por classe'!A2017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5" Type="http://schemas.openxmlformats.org/officeDocument/2006/relationships/hyperlink" Target="#'Energia comprada para revenda'!A1"/><Relationship Id="rId4" Type="http://schemas.openxmlformats.org/officeDocument/2006/relationships/hyperlink" Target="#'Energia comprada para revenda'!BI32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4.wdp"/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4.wdp"/><Relationship Id="rId1" Type="http://schemas.openxmlformats.org/officeDocument/2006/relationships/image" Target="../media/image10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5.wdp"/><Relationship Id="rId1" Type="http://schemas.openxmlformats.org/officeDocument/2006/relationships/image" Target="../media/image7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DRE!BW322"/><Relationship Id="rId13" Type="http://schemas.openxmlformats.org/officeDocument/2006/relationships/hyperlink" Target="#DRE!A3025"/><Relationship Id="rId3" Type="http://schemas.openxmlformats.org/officeDocument/2006/relationships/hyperlink" Target="#MENU!A1"/><Relationship Id="rId7" Type="http://schemas.openxmlformats.org/officeDocument/2006/relationships/hyperlink" Target="#DRE!A3028"/><Relationship Id="rId12" Type="http://schemas.openxmlformats.org/officeDocument/2006/relationships/hyperlink" Target="#DRE!A2025"/><Relationship Id="rId2" Type="http://schemas.microsoft.com/office/2007/relationships/hdphoto" Target="../media/hdphoto5.wdp"/><Relationship Id="rId1" Type="http://schemas.openxmlformats.org/officeDocument/2006/relationships/image" Target="../media/image7.png"/><Relationship Id="rId6" Type="http://schemas.openxmlformats.org/officeDocument/2006/relationships/hyperlink" Target="#DRE!A2028"/><Relationship Id="rId11" Type="http://schemas.openxmlformats.org/officeDocument/2006/relationships/hyperlink" Target="#DRE!A3027"/><Relationship Id="rId5" Type="http://schemas.openxmlformats.org/officeDocument/2006/relationships/hyperlink" Target="#DRE!A1"/><Relationship Id="rId10" Type="http://schemas.openxmlformats.org/officeDocument/2006/relationships/hyperlink" Target="#DRE!BW364"/><Relationship Id="rId4" Type="http://schemas.openxmlformats.org/officeDocument/2006/relationships/hyperlink" Target="#DRE!BY271"/><Relationship Id="rId9" Type="http://schemas.openxmlformats.org/officeDocument/2006/relationships/hyperlink" Target="#DRE!A2005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EBITDA!BZ221"/><Relationship Id="rId3" Type="http://schemas.openxmlformats.org/officeDocument/2006/relationships/hyperlink" Target="#MENU!A1"/><Relationship Id="rId7" Type="http://schemas.openxmlformats.org/officeDocument/2006/relationships/hyperlink" Target="#EBITDA!A1918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6" Type="http://schemas.openxmlformats.org/officeDocument/2006/relationships/hyperlink" Target="#EBITDA!A922"/><Relationship Id="rId5" Type="http://schemas.openxmlformats.org/officeDocument/2006/relationships/hyperlink" Target="#EBITDA!A1"/><Relationship Id="rId10" Type="http://schemas.openxmlformats.org/officeDocument/2006/relationships/hyperlink" Target="#EBITDA!B1923"/><Relationship Id="rId4" Type="http://schemas.openxmlformats.org/officeDocument/2006/relationships/hyperlink" Target="#EBITDA!BZ242"/><Relationship Id="rId9" Type="http://schemas.openxmlformats.org/officeDocument/2006/relationships/hyperlink" Target="#EBITDA!A90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Resultado financeiro'!BU287"/><Relationship Id="rId13" Type="http://schemas.openxmlformats.org/officeDocument/2006/relationships/hyperlink" Target="#'Resultado financeiro'!B2007"/><Relationship Id="rId3" Type="http://schemas.openxmlformats.org/officeDocument/2006/relationships/hyperlink" Target="#MENU!A1"/><Relationship Id="rId7" Type="http://schemas.openxmlformats.org/officeDocument/2006/relationships/hyperlink" Target="#'Resultado financeiro'!A2020"/><Relationship Id="rId12" Type="http://schemas.openxmlformats.org/officeDocument/2006/relationships/hyperlink" Target="#'Resultado financeiro'!A997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6" Type="http://schemas.openxmlformats.org/officeDocument/2006/relationships/hyperlink" Target="#'Resultado financeiro'!A1020"/><Relationship Id="rId11" Type="http://schemas.openxmlformats.org/officeDocument/2006/relationships/hyperlink" Target="#'Resultado financeiro'!BU321"/><Relationship Id="rId5" Type="http://schemas.openxmlformats.org/officeDocument/2006/relationships/hyperlink" Target="#'Resultado financeiro'!B7"/><Relationship Id="rId10" Type="http://schemas.openxmlformats.org/officeDocument/2006/relationships/hyperlink" Target="#'Resultado financeiro'!B1007"/><Relationship Id="rId4" Type="http://schemas.openxmlformats.org/officeDocument/2006/relationships/hyperlink" Target="#'Resultado financeiro'!BT266"/><Relationship Id="rId9" Type="http://schemas.openxmlformats.org/officeDocument/2006/relationships/hyperlink" Target="#'Resultado financeiro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5.wdp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BP!A1024"/><Relationship Id="rId13" Type="http://schemas.openxmlformats.org/officeDocument/2006/relationships/hyperlink" Target="#BP!A2006"/><Relationship Id="rId3" Type="http://schemas.microsoft.com/office/2007/relationships/hdphoto" Target="../media/hdphoto5.wdp"/><Relationship Id="rId7" Type="http://schemas.openxmlformats.org/officeDocument/2006/relationships/hyperlink" Target="#BP!B6"/><Relationship Id="rId12" Type="http://schemas.openxmlformats.org/officeDocument/2006/relationships/hyperlink" Target="#BP!A1001"/><Relationship Id="rId2" Type="http://schemas.openxmlformats.org/officeDocument/2006/relationships/image" Target="../media/image7.png"/><Relationship Id="rId1" Type="http://schemas.openxmlformats.org/officeDocument/2006/relationships/hyperlink" Target="#MENU!A1"/><Relationship Id="rId6" Type="http://schemas.microsoft.com/office/2007/relationships/hdphoto" Target="../media/hdphoto7.wdp"/><Relationship Id="rId11" Type="http://schemas.openxmlformats.org/officeDocument/2006/relationships/hyperlink" Target="#BP!B1006"/><Relationship Id="rId5" Type="http://schemas.openxmlformats.org/officeDocument/2006/relationships/image" Target="../media/image9.png"/><Relationship Id="rId15" Type="http://schemas.openxmlformats.org/officeDocument/2006/relationships/hyperlink" Target="#BP!BT367"/><Relationship Id="rId10" Type="http://schemas.openxmlformats.org/officeDocument/2006/relationships/hyperlink" Target="#BP!A1"/><Relationship Id="rId4" Type="http://schemas.openxmlformats.org/officeDocument/2006/relationships/hyperlink" Target="#BP!BT220"/><Relationship Id="rId9" Type="http://schemas.openxmlformats.org/officeDocument/2006/relationships/hyperlink" Target="#BP!A2024"/><Relationship Id="rId14" Type="http://schemas.openxmlformats.org/officeDocument/2006/relationships/hyperlink" Target="#BP!BS289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DFC!A1033"/><Relationship Id="rId3" Type="http://schemas.openxmlformats.org/officeDocument/2006/relationships/hyperlink" Target="#MENU!A1"/><Relationship Id="rId7" Type="http://schemas.openxmlformats.org/officeDocument/2006/relationships/hyperlink" Target="#DFC!A2035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6" Type="http://schemas.openxmlformats.org/officeDocument/2006/relationships/hyperlink" Target="#DFC!A1030"/><Relationship Id="rId5" Type="http://schemas.openxmlformats.org/officeDocument/2006/relationships/hyperlink" Target="#DFC!A1"/><Relationship Id="rId4" Type="http://schemas.openxmlformats.org/officeDocument/2006/relationships/hyperlink" Target="#DFC!BU274"/><Relationship Id="rId9" Type="http://schemas.openxmlformats.org/officeDocument/2006/relationships/hyperlink" Target="#DFC!A1007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5" Type="http://schemas.openxmlformats.org/officeDocument/2006/relationships/hyperlink" Target="#Endividamento!A1"/><Relationship Id="rId4" Type="http://schemas.openxmlformats.org/officeDocument/2006/relationships/hyperlink" Target="#Endividamento!BK317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5" Type="http://schemas.openxmlformats.org/officeDocument/2006/relationships/hyperlink" Target="#Investimentos!A1"/><Relationship Id="rId4" Type="http://schemas.openxmlformats.org/officeDocument/2006/relationships/hyperlink" Target="#Investimentos!BW22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27</xdr:col>
      <xdr:colOff>0</xdr:colOff>
      <xdr:row>52</xdr:row>
      <xdr:rowOff>27188</xdr:rowOff>
    </xdr:to>
    <xdr:pic>
      <xdr:nvPicPr>
        <xdr:cNvPr id="11" name="Imagem 10" descr="Padrão do plano de fundo&#10;&#10;Descrição gerada automaticamente">
          <a:extLst>
            <a:ext uri="{FF2B5EF4-FFF2-40B4-BE49-F238E27FC236}">
              <a16:creationId xmlns:a16="http://schemas.microsoft.com/office/drawing/2014/main" id="{5A451791-3DBB-FB9D-DC1E-D75C11B91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66000"/>
                  </a14:imgEffect>
                </a14:imgLayer>
              </a14:imgProps>
            </a:ext>
          </a:extLst>
        </a:blip>
        <a:srcRect l="17261" b="17261"/>
        <a:stretch/>
      </xdr:blipFill>
      <xdr:spPr>
        <a:xfrm>
          <a:off x="0" y="0"/>
          <a:ext cx="16716375" cy="99331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26</xdr:col>
      <xdr:colOff>589588</xdr:colOff>
      <xdr:row>52</xdr:row>
      <xdr:rowOff>24597</xdr:rowOff>
    </xdr:to>
    <xdr:pic>
      <xdr:nvPicPr>
        <xdr:cNvPr id="12" name="Imagem 11" descr="Torre com por do sol ao fundo&#10;&#10;Descrição gerada automaticamente com confiança média">
          <a:extLst>
            <a:ext uri="{FF2B5EF4-FFF2-40B4-BE49-F238E27FC236}">
              <a16:creationId xmlns:a16="http://schemas.microsoft.com/office/drawing/2014/main" id="{6C7B82AA-C0B1-9EA8-03E7-E842E3466C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grayscl/>
          <a:alphaModFix amt="50000"/>
        </a:blip>
        <a:srcRect l="6110" r="2317"/>
        <a:stretch/>
      </xdr:blipFill>
      <xdr:spPr>
        <a:xfrm>
          <a:off x="0" y="0"/>
          <a:ext cx="16439188" cy="92701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26</xdr:col>
      <xdr:colOff>593621</xdr:colOff>
      <xdr:row>52</xdr:row>
      <xdr:rowOff>4392</xdr:rowOff>
    </xdr:to>
    <xdr:pic>
      <xdr:nvPicPr>
        <xdr:cNvPr id="13" name="1">
          <a:extLst>
            <a:ext uri="{FF2B5EF4-FFF2-40B4-BE49-F238E27FC236}">
              <a16:creationId xmlns:a16="http://schemas.microsoft.com/office/drawing/2014/main" id="{30ECCC73-9F63-F389-E842-CC4AB29227B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3134"/>
        <a:stretch>
          <a:fillRect/>
        </a:stretch>
      </xdr:blipFill>
      <xdr:spPr>
        <a:xfrm>
          <a:off x="0" y="0"/>
          <a:ext cx="16443221" cy="92499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26</xdr:col>
      <xdr:colOff>581274</xdr:colOff>
      <xdr:row>52</xdr:row>
      <xdr:rowOff>58915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66784F49-C7FF-325F-4936-B2A731FDD0A6}"/>
            </a:ext>
          </a:extLst>
        </xdr:cNvPr>
        <xdr:cNvGrpSpPr/>
      </xdr:nvGrpSpPr>
      <xdr:grpSpPr>
        <a:xfrm>
          <a:off x="0" y="0"/>
          <a:ext cx="16383703" cy="9493201"/>
          <a:chOff x="259557" y="963409"/>
          <a:chExt cx="16328244" cy="8494059"/>
        </a:xfrm>
      </xdr:grpSpPr>
      <xdr:pic>
        <xdr:nvPicPr>
          <xdr:cNvPr id="18" name="Imagem 17">
            <a:extLst>
              <a:ext uri="{FF2B5EF4-FFF2-40B4-BE49-F238E27FC236}">
                <a16:creationId xmlns:a16="http://schemas.microsoft.com/office/drawing/2014/main" id="{0EF1FC13-38BD-D5D8-A889-1A8F4A9CE8E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alphaModFix amt="10000"/>
          </a:blip>
          <a:srcRect t="75955"/>
          <a:stretch>
            <a:fillRect/>
          </a:stretch>
        </xdr:blipFill>
        <xdr:spPr>
          <a:xfrm flipV="1">
            <a:off x="259557" y="4431743"/>
            <a:ext cx="16328244" cy="5025725"/>
          </a:xfrm>
          <a:prstGeom prst="rect">
            <a:avLst/>
          </a:prstGeom>
          <a:gradFill flip="none" rotWithShape="1">
            <a:gsLst>
              <a:gs pos="0">
                <a:srgbClr val="117963">
                  <a:lumMod val="64000"/>
                  <a:lumOff val="36000"/>
                  <a:alpha val="0"/>
                </a:srgbClr>
              </a:gs>
              <a:gs pos="100000">
                <a:srgbClr val="0A332A">
                  <a:alpha val="0"/>
                </a:srgbClr>
              </a:gs>
            </a:gsLst>
            <a:path path="shape">
              <a:fillToRect l="50000" t="50000" r="50000" b="50000"/>
            </a:path>
            <a:tileRect/>
          </a:gradFill>
          <a:ln>
            <a:noFill/>
          </a:ln>
        </xdr:spPr>
      </xdr:pic>
      <xdr:pic>
        <xdr:nvPicPr>
          <xdr:cNvPr id="19" name="Imagem 18">
            <a:extLst>
              <a:ext uri="{FF2B5EF4-FFF2-40B4-BE49-F238E27FC236}">
                <a16:creationId xmlns:a16="http://schemas.microsoft.com/office/drawing/2014/main" id="{C2C55593-C963-F305-8D9D-665076019FC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alphaModFix amt="10000"/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saturation sat="200000"/>
                    </a14:imgEffect>
                  </a14:imgLayer>
                </a14:imgProps>
              </a:ext>
            </a:extLst>
          </a:blip>
          <a:srcRect t="17090"/>
          <a:stretch/>
        </xdr:blipFill>
        <xdr:spPr>
          <a:xfrm>
            <a:off x="259557" y="963409"/>
            <a:ext cx="16327334" cy="3463637"/>
          </a:xfrm>
          <a:prstGeom prst="rect">
            <a:avLst/>
          </a:prstGeom>
          <a:gradFill flip="none" rotWithShape="1">
            <a:gsLst>
              <a:gs pos="0">
                <a:srgbClr val="117963">
                  <a:lumMod val="64000"/>
                  <a:lumOff val="36000"/>
                  <a:alpha val="0"/>
                </a:srgbClr>
              </a:gs>
              <a:gs pos="100000">
                <a:srgbClr val="0A332A">
                  <a:alpha val="0"/>
                </a:srgbClr>
              </a:gs>
            </a:gsLst>
            <a:path path="shape">
              <a:fillToRect l="50000" t="50000" r="50000" b="50000"/>
            </a:path>
            <a:tileRect/>
          </a:gradFill>
        </xdr:spPr>
      </xdr:pic>
    </xdr:grpSp>
    <xdr:clientData/>
  </xdr:twoCellAnchor>
  <xdr:twoCellAnchor>
    <xdr:from>
      <xdr:col>8</xdr:col>
      <xdr:colOff>204108</xdr:colOff>
      <xdr:row>4</xdr:row>
      <xdr:rowOff>97876</xdr:rowOff>
    </xdr:from>
    <xdr:to>
      <xdr:col>16</xdr:col>
      <xdr:colOff>147785</xdr:colOff>
      <xdr:row>8</xdr:row>
      <xdr:rowOff>163503</xdr:rowOff>
    </xdr:to>
    <xdr:sp macro="" textlink="">
      <xdr:nvSpPr>
        <xdr:cNvPr id="7" name="CaixaDeTexto 1">
          <a:extLst>
            <a:ext uri="{FF2B5EF4-FFF2-40B4-BE49-F238E27FC236}">
              <a16:creationId xmlns:a16="http://schemas.microsoft.com/office/drawing/2014/main" id="{F0BB205B-F8C7-4887-B09D-0ED4F5F37791}"/>
            </a:ext>
          </a:extLst>
        </xdr:cNvPr>
        <xdr:cNvSpPr txBox="1"/>
      </xdr:nvSpPr>
      <xdr:spPr>
        <a:xfrm>
          <a:off x="4884965" y="859876"/>
          <a:ext cx="4624534" cy="8276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lang="pt-BR" sz="5000" b="1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RESULTADOS</a:t>
          </a:r>
        </a:p>
      </xdr:txBody>
    </xdr:sp>
    <xdr:clientData/>
  </xdr:twoCellAnchor>
  <xdr:twoCellAnchor>
    <xdr:from>
      <xdr:col>0</xdr:col>
      <xdr:colOff>576315</xdr:colOff>
      <xdr:row>15</xdr:row>
      <xdr:rowOff>39693</xdr:rowOff>
    </xdr:from>
    <xdr:to>
      <xdr:col>8</xdr:col>
      <xdr:colOff>4094</xdr:colOff>
      <xdr:row>18</xdr:row>
      <xdr:rowOff>82772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F4848CBB-439F-4F9B-8921-A8A4FA4BA666}"/>
            </a:ext>
          </a:extLst>
        </xdr:cNvPr>
        <xdr:cNvSpPr txBox="1"/>
      </xdr:nvSpPr>
      <xdr:spPr>
        <a:xfrm>
          <a:off x="576315" y="2897193"/>
          <a:ext cx="4108636" cy="614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lang="pt-BR" sz="2800" b="1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I -</a:t>
          </a:r>
          <a:r>
            <a:rPr lang="pt-BR" sz="2800" b="1" baseline="0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 </a:t>
          </a:r>
          <a:r>
            <a:rPr lang="pt-BR" sz="2800" b="1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FINANCEIRO</a:t>
          </a:r>
        </a:p>
      </xdr:txBody>
    </xdr:sp>
    <xdr:clientData/>
  </xdr:twoCellAnchor>
  <xdr:twoCellAnchor>
    <xdr:from>
      <xdr:col>0</xdr:col>
      <xdr:colOff>285858</xdr:colOff>
      <xdr:row>1</xdr:row>
      <xdr:rowOff>111390</xdr:rowOff>
    </xdr:from>
    <xdr:to>
      <xdr:col>6</xdr:col>
      <xdr:colOff>237670</xdr:colOff>
      <xdr:row>5</xdr:row>
      <xdr:rowOff>54645</xdr:rowOff>
    </xdr:to>
    <xdr:grpSp>
      <xdr:nvGrpSpPr>
        <xdr:cNvPr id="26" name="Agrupar 25">
          <a:extLst>
            <a:ext uri="{FF2B5EF4-FFF2-40B4-BE49-F238E27FC236}">
              <a16:creationId xmlns:a16="http://schemas.microsoft.com/office/drawing/2014/main" id="{826C5A04-9A71-F5FF-106C-A71DEAA14D25}"/>
            </a:ext>
          </a:extLst>
        </xdr:cNvPr>
        <xdr:cNvGrpSpPr/>
      </xdr:nvGrpSpPr>
      <xdr:grpSpPr>
        <a:xfrm>
          <a:off x="285858" y="292819"/>
          <a:ext cx="3598526" cy="668969"/>
          <a:chOff x="621955" y="299991"/>
          <a:chExt cx="3613041" cy="650826"/>
        </a:xfrm>
      </xdr:grpSpPr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F59762D2-FA87-0326-1CED-89341AE74BF0}"/>
              </a:ext>
            </a:extLst>
          </xdr:cNvPr>
          <xdr:cNvSpPr txBox="1"/>
        </xdr:nvSpPr>
        <xdr:spPr>
          <a:xfrm>
            <a:off x="2362705" y="313001"/>
            <a:ext cx="1872291" cy="6216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1400" b="0">
                <a:solidFill>
                  <a:schemeClr val="bg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1400" b="0" baseline="0">
                <a:solidFill>
                  <a:schemeClr val="bg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1400" b="0">
              <a:solidFill>
                <a:schemeClr val="bg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0" name="Conector reto 9">
            <a:extLst>
              <a:ext uri="{FF2B5EF4-FFF2-40B4-BE49-F238E27FC236}">
                <a16:creationId xmlns:a16="http://schemas.microsoft.com/office/drawing/2014/main" id="{9FBD74AA-C9C0-A8CE-C5DF-1C01A6A98883}"/>
              </a:ext>
            </a:extLst>
          </xdr:cNvPr>
          <xdr:cNvCxnSpPr/>
        </xdr:nvCxnSpPr>
        <xdr:spPr>
          <a:xfrm rot="16200000" flipV="1">
            <a:off x="2271721" y="625404"/>
            <a:ext cx="608590" cy="1"/>
          </a:xfrm>
          <a:prstGeom prst="line">
            <a:avLst/>
          </a:prstGeom>
          <a:ln>
            <a:solidFill>
              <a:schemeClr val="bg1">
                <a:lumMod val="95000"/>
              </a:schemeClr>
            </a:solidFill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25" name="Imagem 24" descr="brasao do cemig">
            <a:extLst>
              <a:ext uri="{FF2B5EF4-FFF2-40B4-BE49-F238E27FC236}">
                <a16:creationId xmlns:a16="http://schemas.microsoft.com/office/drawing/2014/main" id="{380854A8-F5A8-4A73-B3CA-0746D11ECAD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9" cstate="print">
            <a:biLevel thresh="25000"/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621955" y="299991"/>
            <a:ext cx="1885044" cy="650826"/>
          </a:xfrm>
          <a:prstGeom prst="rect">
            <a:avLst/>
          </a:prstGeom>
          <a:noFill/>
          <a:ln>
            <a:noFill/>
          </a:ln>
          <a:effectLst/>
        </xdr:spPr>
      </xdr:pic>
    </xdr:grpSp>
    <xdr:clientData/>
  </xdr:twoCellAnchor>
  <xdr:twoCellAnchor>
    <xdr:from>
      <xdr:col>16</xdr:col>
      <xdr:colOff>180771</xdr:colOff>
      <xdr:row>4</xdr:row>
      <xdr:rowOff>140878</xdr:rowOff>
    </xdr:from>
    <xdr:to>
      <xdr:col>20</xdr:col>
      <xdr:colOff>557893</xdr:colOff>
      <xdr:row>8</xdr:row>
      <xdr:rowOff>117326</xdr:rowOff>
    </xdr:to>
    <xdr:grpSp>
      <xdr:nvGrpSpPr>
        <xdr:cNvPr id="27" name="Agrupar 26">
          <a:extLst>
            <a:ext uri="{FF2B5EF4-FFF2-40B4-BE49-F238E27FC236}">
              <a16:creationId xmlns:a16="http://schemas.microsoft.com/office/drawing/2014/main" id="{BA0C5C9D-BE6F-F0F4-60A6-1CC561A9AC7F}"/>
            </a:ext>
          </a:extLst>
        </xdr:cNvPr>
        <xdr:cNvGrpSpPr/>
      </xdr:nvGrpSpPr>
      <xdr:grpSpPr>
        <a:xfrm>
          <a:off x="9905342" y="866592"/>
          <a:ext cx="2808265" cy="702163"/>
          <a:chOff x="10647838" y="225197"/>
          <a:chExt cx="2831655" cy="690370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A609ED6E-E293-4997-A708-A48D39B1C291}"/>
              </a:ext>
            </a:extLst>
          </xdr:cNvPr>
          <xdr:cNvSpPr txBox="1"/>
        </xdr:nvSpPr>
        <xdr:spPr>
          <a:xfrm>
            <a:off x="10647838" y="225197"/>
            <a:ext cx="1280708" cy="690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5400" b="1">
                <a:ln>
                  <a:noFill/>
                </a:ln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Rounded MT Bold" panose="020F0704030504030204" pitchFamily="34" charset="0"/>
                <a:ea typeface="+mj-lt"/>
                <a:cs typeface="Times New Roman" panose="02020603050405020304" pitchFamily="18" charset="0"/>
              </a:rPr>
              <a:t>2T</a:t>
            </a:r>
            <a:r>
              <a:rPr lang="pt-BR" sz="5000" b="1">
                <a:ln>
                  <a:noFill/>
                </a:ln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Rounded MT Bold" panose="020F0704030504030204" pitchFamily="34" charset="0"/>
                <a:ea typeface="+mj-lt"/>
                <a:cs typeface="Times New Roman" panose="02020603050405020304" pitchFamily="18" charset="0"/>
              </a:rPr>
              <a:t> </a:t>
            </a:r>
            <a:endParaRPr lang="pt-BR" sz="5000" b="1">
              <a:ln>
                <a:noFill/>
              </a:ln>
              <a:noFill/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4BC78D2C-AF9A-74B8-CF43-D32F153935F7}"/>
              </a:ext>
            </a:extLst>
          </xdr:cNvPr>
          <xdr:cNvSpPr txBox="1"/>
        </xdr:nvSpPr>
        <xdr:spPr>
          <a:xfrm>
            <a:off x="11897988" y="339602"/>
            <a:ext cx="1581505" cy="4552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3600" b="1">
                <a:ln>
                  <a:noFill/>
                </a:ln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Rounded MT Bold" panose="020F0704030504030204" pitchFamily="34" charset="0"/>
                <a:ea typeface="+mj-lt"/>
                <a:cs typeface="Times New Roman" panose="02020603050405020304" pitchFamily="18" charset="0"/>
              </a:rPr>
              <a:t>2026</a:t>
            </a:r>
            <a:endParaRPr lang="pt-BR" sz="2400" b="1">
              <a:ln>
                <a:noFill/>
              </a:ln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endParaRPr>
          </a:p>
        </xdr:txBody>
      </xdr:sp>
      <xdr:cxnSp macro="">
        <xdr:nvCxnSpPr>
          <xdr:cNvPr id="14" name="Conector reto 13">
            <a:extLst>
              <a:ext uri="{FF2B5EF4-FFF2-40B4-BE49-F238E27FC236}">
                <a16:creationId xmlns:a16="http://schemas.microsoft.com/office/drawing/2014/main" id="{5BDC820F-F806-A98C-2661-CF79D9A25FEB}"/>
              </a:ext>
            </a:extLst>
          </xdr:cNvPr>
          <xdr:cNvCxnSpPr/>
        </xdr:nvCxnSpPr>
        <xdr:spPr>
          <a:xfrm rot="16200000" flipV="1">
            <a:off x="11609721" y="569582"/>
            <a:ext cx="654016" cy="1"/>
          </a:xfrm>
          <a:prstGeom prst="line">
            <a:avLst/>
          </a:prstGeom>
          <a:ln w="12700">
            <a:solidFill>
              <a:schemeClr val="bg1">
                <a:lumMod val="85000"/>
              </a:schemeClr>
            </a:solidFill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601727</xdr:colOff>
      <xdr:row>21</xdr:row>
      <xdr:rowOff>64495</xdr:rowOff>
    </xdr:from>
    <xdr:to>
      <xdr:col>4</xdr:col>
      <xdr:colOff>140268</xdr:colOff>
      <xdr:row>26</xdr:row>
      <xdr:rowOff>52876</xdr:rowOff>
    </xdr:to>
    <xdr:sp macro="" textlink="">
      <xdr:nvSpPr>
        <xdr:cNvPr id="24" name="Retângulo: Cantos Arredondados 2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11780A7-158C-4479-942D-314891DFDB03}"/>
            </a:ext>
          </a:extLst>
        </xdr:cNvPr>
        <xdr:cNvSpPr/>
      </xdr:nvSpPr>
      <xdr:spPr>
        <a:xfrm>
          <a:off x="601727" y="3779245"/>
          <a:ext cx="1987827" cy="872845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DRE</a:t>
          </a:r>
        </a:p>
      </xdr:txBody>
    </xdr:sp>
    <xdr:clientData/>
  </xdr:twoCellAnchor>
  <xdr:twoCellAnchor>
    <xdr:from>
      <xdr:col>0</xdr:col>
      <xdr:colOff>611261</xdr:colOff>
      <xdr:row>27</xdr:row>
      <xdr:rowOff>65640</xdr:rowOff>
    </xdr:from>
    <xdr:to>
      <xdr:col>4</xdr:col>
      <xdr:colOff>143444</xdr:colOff>
      <xdr:row>32</xdr:row>
      <xdr:rowOff>66716</xdr:rowOff>
    </xdr:to>
    <xdr:sp macro="" textlink="">
      <xdr:nvSpPr>
        <xdr:cNvPr id="59" name="Retângulo: Cantos Arredondados 5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7B580FD-E3B7-4C30-9C73-206EE0334D77}"/>
            </a:ext>
          </a:extLst>
        </xdr:cNvPr>
        <xdr:cNvSpPr/>
      </xdr:nvSpPr>
      <xdr:spPr>
        <a:xfrm>
          <a:off x="611261" y="4841747"/>
          <a:ext cx="1981469" cy="885540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EBITDA</a:t>
          </a:r>
        </a:p>
      </xdr:txBody>
    </xdr:sp>
    <xdr:clientData/>
  </xdr:twoCellAnchor>
  <xdr:twoCellAnchor>
    <xdr:from>
      <xdr:col>4</xdr:col>
      <xdr:colOff>462381</xdr:colOff>
      <xdr:row>21</xdr:row>
      <xdr:rowOff>64495</xdr:rowOff>
    </xdr:from>
    <xdr:to>
      <xdr:col>7</xdr:col>
      <xdr:colOff>600527</xdr:colOff>
      <xdr:row>26</xdr:row>
      <xdr:rowOff>40185</xdr:rowOff>
    </xdr:to>
    <xdr:sp macro="" textlink="">
      <xdr:nvSpPr>
        <xdr:cNvPr id="60" name="Retângulo: Cantos Arredondados 5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9EDAB8C-95C2-43E1-8C5E-FB110FE5DBDC}"/>
            </a:ext>
          </a:extLst>
        </xdr:cNvPr>
        <xdr:cNvSpPr/>
      </xdr:nvSpPr>
      <xdr:spPr>
        <a:xfrm>
          <a:off x="2911667" y="3779245"/>
          <a:ext cx="1975110" cy="860154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Balanço patrimonial</a:t>
          </a:r>
        </a:p>
      </xdr:txBody>
    </xdr:sp>
    <xdr:clientData/>
  </xdr:twoCellAnchor>
  <xdr:twoCellAnchor>
    <xdr:from>
      <xdr:col>4</xdr:col>
      <xdr:colOff>456024</xdr:colOff>
      <xdr:row>27</xdr:row>
      <xdr:rowOff>65640</xdr:rowOff>
    </xdr:from>
    <xdr:to>
      <xdr:col>7</xdr:col>
      <xdr:colOff>597352</xdr:colOff>
      <xdr:row>32</xdr:row>
      <xdr:rowOff>54023</xdr:rowOff>
    </xdr:to>
    <xdr:sp macro="" textlink="">
      <xdr:nvSpPr>
        <xdr:cNvPr id="61" name="Retângulo: Cantos Arredondados 6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A4021-9FD8-43A4-B326-458412A17977}"/>
            </a:ext>
          </a:extLst>
        </xdr:cNvPr>
        <xdr:cNvSpPr/>
      </xdr:nvSpPr>
      <xdr:spPr>
        <a:xfrm>
          <a:off x="2905310" y="4841747"/>
          <a:ext cx="1978292" cy="872847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DFC</a:t>
          </a:r>
        </a:p>
      </xdr:txBody>
    </xdr:sp>
    <xdr:clientData/>
  </xdr:twoCellAnchor>
  <xdr:twoCellAnchor>
    <xdr:from>
      <xdr:col>0</xdr:col>
      <xdr:colOff>611261</xdr:colOff>
      <xdr:row>33</xdr:row>
      <xdr:rowOff>88998</xdr:rowOff>
    </xdr:from>
    <xdr:to>
      <xdr:col>4</xdr:col>
      <xdr:colOff>121198</xdr:colOff>
      <xdr:row>38</xdr:row>
      <xdr:rowOff>61515</xdr:rowOff>
    </xdr:to>
    <xdr:sp macro="" textlink="">
      <xdr:nvSpPr>
        <xdr:cNvPr id="62" name="Retângulo: Cantos Arredondados 6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ECF6891-CA2B-49A5-A059-97B484AADDFE}"/>
            </a:ext>
          </a:extLst>
        </xdr:cNvPr>
        <xdr:cNvSpPr/>
      </xdr:nvSpPr>
      <xdr:spPr>
        <a:xfrm>
          <a:off x="611261" y="5926462"/>
          <a:ext cx="1959223" cy="856982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Resultados</a:t>
          </a:r>
          <a:r>
            <a:rPr lang="pt-BR" sz="1800" b="0" baseline="0">
              <a:latin typeface="Arial Rounded MT Bold" panose="020F0704030504030204" pitchFamily="34" charset="0"/>
              <a:cs typeface="Arial" panose="020B0604020202020204" pitchFamily="34" charset="0"/>
            </a:rPr>
            <a:t> financeiros</a:t>
          </a:r>
          <a:endParaRPr lang="pt-BR" sz="1800" b="0"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465556</xdr:colOff>
      <xdr:row>33</xdr:row>
      <xdr:rowOff>85828</xdr:rowOff>
    </xdr:from>
    <xdr:to>
      <xdr:col>7</xdr:col>
      <xdr:colOff>597352</xdr:colOff>
      <xdr:row>38</xdr:row>
      <xdr:rowOff>64690</xdr:rowOff>
    </xdr:to>
    <xdr:sp macro="" textlink="">
      <xdr:nvSpPr>
        <xdr:cNvPr id="4" name="Retângulo: Cantos Arredondados 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2B52D65-D658-4A07-8EB6-64F9126E9240}"/>
            </a:ext>
          </a:extLst>
        </xdr:cNvPr>
        <xdr:cNvSpPr/>
      </xdr:nvSpPr>
      <xdr:spPr>
        <a:xfrm>
          <a:off x="2914842" y="5923292"/>
          <a:ext cx="1968760" cy="863327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750" b="0">
              <a:latin typeface="Arial Rounded MT Bold" panose="020F0704030504030204" pitchFamily="34" charset="0"/>
              <a:cs typeface="Arial" panose="020B0604020202020204" pitchFamily="34" charset="0"/>
            </a:rPr>
            <a:t>Endividamento</a:t>
          </a:r>
        </a:p>
      </xdr:txBody>
    </xdr:sp>
    <xdr:clientData/>
  </xdr:twoCellAnchor>
  <xdr:twoCellAnchor>
    <xdr:from>
      <xdr:col>0</xdr:col>
      <xdr:colOff>598552</xdr:colOff>
      <xdr:row>39</xdr:row>
      <xdr:rowOff>83797</xdr:rowOff>
    </xdr:from>
    <xdr:to>
      <xdr:col>4</xdr:col>
      <xdr:colOff>129266</xdr:colOff>
      <xdr:row>44</xdr:row>
      <xdr:rowOff>65832</xdr:rowOff>
    </xdr:to>
    <xdr:sp macro="" textlink="">
      <xdr:nvSpPr>
        <xdr:cNvPr id="5" name="Retângulo: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B7BC076-4272-4A36-85E6-F1CBE39B9CB6}"/>
            </a:ext>
          </a:extLst>
        </xdr:cNvPr>
        <xdr:cNvSpPr/>
      </xdr:nvSpPr>
      <xdr:spPr>
        <a:xfrm>
          <a:off x="598552" y="6982618"/>
          <a:ext cx="1980000" cy="866500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DRE</a:t>
          </a:r>
        </a:p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por</a:t>
          </a:r>
          <a:r>
            <a:rPr lang="pt-BR" sz="1800" b="0" baseline="0">
              <a:latin typeface="Arial Rounded MT Bold" panose="020F0704030504030204" pitchFamily="34" charset="0"/>
              <a:cs typeface="Arial" panose="020B0604020202020204" pitchFamily="34" charset="0"/>
            </a:rPr>
            <a:t> segmento</a:t>
          </a:r>
          <a:endParaRPr lang="pt-BR" sz="1800" b="0"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456024</xdr:colOff>
      <xdr:row>39</xdr:row>
      <xdr:rowOff>86972</xdr:rowOff>
    </xdr:from>
    <xdr:to>
      <xdr:col>7</xdr:col>
      <xdr:colOff>600527</xdr:colOff>
      <xdr:row>44</xdr:row>
      <xdr:rowOff>65834</xdr:rowOff>
    </xdr:to>
    <xdr:sp macro="" textlink="">
      <xdr:nvSpPr>
        <xdr:cNvPr id="6" name="Retângulo: Cantos Arredondados 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AE4DB10-3BA0-421B-95A1-AD82939B4DF7}"/>
            </a:ext>
          </a:extLst>
        </xdr:cNvPr>
        <xdr:cNvSpPr/>
      </xdr:nvSpPr>
      <xdr:spPr>
        <a:xfrm>
          <a:off x="2905310" y="6985793"/>
          <a:ext cx="1981467" cy="863327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Investimentos</a:t>
          </a:r>
        </a:p>
      </xdr:txBody>
    </xdr:sp>
    <xdr:clientData/>
  </xdr:twoCellAnchor>
  <xdr:twoCellAnchor>
    <xdr:from>
      <xdr:col>22</xdr:col>
      <xdr:colOff>129869</xdr:colOff>
      <xdr:row>21</xdr:row>
      <xdr:rowOff>64495</xdr:rowOff>
    </xdr:from>
    <xdr:to>
      <xdr:col>25</xdr:col>
      <xdr:colOff>263762</xdr:colOff>
      <xdr:row>26</xdr:row>
      <xdr:rowOff>50381</xdr:rowOff>
    </xdr:to>
    <xdr:sp macro="" textlink="">
      <xdr:nvSpPr>
        <xdr:cNvPr id="23" name="Retângulo: Cantos Arredondados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4BB1853-489E-4C68-948E-82FA2B79B556}"/>
            </a:ext>
          </a:extLst>
        </xdr:cNvPr>
        <xdr:cNvSpPr/>
      </xdr:nvSpPr>
      <xdr:spPr>
        <a:xfrm>
          <a:off x="13600940" y="3779245"/>
          <a:ext cx="1970858" cy="870350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CEMI</a:t>
          </a:r>
          <a:r>
            <a:rPr lang="pt-BR" sz="1800" b="0" baseline="0">
              <a:latin typeface="Arial Rounded MT Bold" panose="020F0704030504030204" pitchFamily="34" charset="0"/>
              <a:cs typeface="Arial" panose="020B0604020202020204" pitchFamily="34" charset="0"/>
            </a:rPr>
            <a:t>G D</a:t>
          </a:r>
        </a:p>
      </xdr:txBody>
    </xdr:sp>
    <xdr:clientData/>
  </xdr:twoCellAnchor>
  <xdr:twoCellAnchor>
    <xdr:from>
      <xdr:col>18</xdr:col>
      <xdr:colOff>236842</xdr:colOff>
      <xdr:row>21</xdr:row>
      <xdr:rowOff>67670</xdr:rowOff>
    </xdr:from>
    <xdr:to>
      <xdr:col>21</xdr:col>
      <xdr:colOff>373901</xdr:colOff>
      <xdr:row>26</xdr:row>
      <xdr:rowOff>47206</xdr:rowOff>
    </xdr:to>
    <xdr:sp macro="" textlink="">
      <xdr:nvSpPr>
        <xdr:cNvPr id="31" name="Retângulo: Cantos Arredondados 3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41278A2-009C-4F60-9B0C-126464A21879}"/>
            </a:ext>
          </a:extLst>
        </xdr:cNvPr>
        <xdr:cNvSpPr/>
      </xdr:nvSpPr>
      <xdr:spPr>
        <a:xfrm>
          <a:off x="11147297" y="3704488"/>
          <a:ext cx="1955468" cy="845445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RAP</a:t>
          </a:r>
        </a:p>
      </xdr:txBody>
    </xdr:sp>
    <xdr:clientData/>
  </xdr:twoCellAnchor>
  <xdr:twoCellAnchor>
    <xdr:from>
      <xdr:col>9</xdr:col>
      <xdr:colOff>282679</xdr:colOff>
      <xdr:row>15</xdr:row>
      <xdr:rowOff>38571</xdr:rowOff>
    </xdr:from>
    <xdr:to>
      <xdr:col>16</xdr:col>
      <xdr:colOff>306904</xdr:colOff>
      <xdr:row>18</xdr:row>
      <xdr:rowOff>83893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5E76BC1D-A88C-4E0B-BE72-CA1D882846CD}"/>
            </a:ext>
          </a:extLst>
        </xdr:cNvPr>
        <xdr:cNvSpPr txBox="1"/>
      </xdr:nvSpPr>
      <xdr:spPr>
        <a:xfrm>
          <a:off x="5548643" y="2896071"/>
          <a:ext cx="4119975" cy="616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lang="pt-BR" sz="2800" b="1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II -</a:t>
          </a:r>
          <a:r>
            <a:rPr lang="pt-BR" sz="2800" b="1" baseline="0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 OPERACIONAL</a:t>
          </a:r>
          <a:endParaRPr lang="pt-BR" sz="2800" b="1">
            <a:solidFill>
              <a:schemeClr val="bg1"/>
            </a:solidFill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latin typeface="Arial Rounded MT Bold" panose="020F0704030504030204" pitchFamily="34" charset="0"/>
            <a:ea typeface="+mj-lt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288906</xdr:colOff>
      <xdr:row>14</xdr:row>
      <xdr:rowOff>40821</xdr:rowOff>
    </xdr:from>
    <xdr:to>
      <xdr:col>26</xdr:col>
      <xdr:colOff>102838</xdr:colOff>
      <xdr:row>19</xdr:row>
      <xdr:rowOff>81643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F600B82A-9859-4BED-B691-0CAB365E6FD6}"/>
            </a:ext>
          </a:extLst>
        </xdr:cNvPr>
        <xdr:cNvSpPr txBox="1"/>
      </xdr:nvSpPr>
      <xdr:spPr>
        <a:xfrm>
          <a:off x="10235727" y="2707821"/>
          <a:ext cx="5079897" cy="9933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lang="pt-BR" sz="2800" b="1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III -</a:t>
          </a:r>
          <a:r>
            <a:rPr lang="pt-BR" sz="2800" b="1" baseline="0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 DADOS REGULATÓRIOS</a:t>
          </a:r>
          <a:endParaRPr lang="pt-BR" sz="2800" b="1">
            <a:solidFill>
              <a:schemeClr val="bg1"/>
            </a:solidFill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latin typeface="Arial Rounded MT Bold" panose="020F0704030504030204" pitchFamily="34" charset="0"/>
            <a:ea typeface="+mj-lt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18</xdr:col>
      <xdr:colOff>236842</xdr:colOff>
      <xdr:row>27</xdr:row>
      <xdr:rowOff>64519</xdr:rowOff>
    </xdr:from>
    <xdr:to>
      <xdr:col>21</xdr:col>
      <xdr:colOff>370600</xdr:colOff>
      <xdr:row>32</xdr:row>
      <xdr:rowOff>46321</xdr:rowOff>
    </xdr:to>
    <xdr:sp macro="" textlink="">
      <xdr:nvSpPr>
        <xdr:cNvPr id="21" name="Retângulo: Cantos Arredondados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71AF34EE-E549-4C7D-8E79-85A2AC8C2CE1}"/>
            </a:ext>
          </a:extLst>
        </xdr:cNvPr>
        <xdr:cNvSpPr/>
      </xdr:nvSpPr>
      <xdr:spPr>
        <a:xfrm>
          <a:off x="11147297" y="4740428"/>
          <a:ext cx="1952167" cy="847711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Indicadores</a:t>
          </a:r>
          <a:r>
            <a:rPr lang="pt-BR" sz="1800" b="0" baseline="0">
              <a:latin typeface="Arial Rounded MT Bold" panose="020F0704030504030204" pitchFamily="34" charset="0"/>
              <a:cs typeface="Arial" panose="020B0604020202020204" pitchFamily="34" charset="0"/>
            </a:rPr>
            <a:t> CEMIG D</a:t>
          </a:r>
          <a:endParaRPr lang="pt-BR" sz="1800" b="0"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296971</xdr:colOff>
      <xdr:row>27</xdr:row>
      <xdr:rowOff>64519</xdr:rowOff>
    </xdr:from>
    <xdr:to>
      <xdr:col>12</xdr:col>
      <xdr:colOff>437079</xdr:colOff>
      <xdr:row>32</xdr:row>
      <xdr:rowOff>49496</xdr:rowOff>
    </xdr:to>
    <xdr:sp macro="" textlink="">
      <xdr:nvSpPr>
        <xdr:cNvPr id="22" name="Retângulo: Cantos Arredondados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9E2CC61-4E92-420E-939C-647B6EF230FB}"/>
            </a:ext>
          </a:extLst>
        </xdr:cNvPr>
        <xdr:cNvSpPr/>
      </xdr:nvSpPr>
      <xdr:spPr>
        <a:xfrm>
          <a:off x="5807864" y="4840626"/>
          <a:ext cx="1977072" cy="869441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Balanço de energia</a:t>
          </a:r>
        </a:p>
      </xdr:txBody>
    </xdr:sp>
    <xdr:clientData/>
  </xdr:twoCellAnchor>
  <xdr:twoCellAnchor>
    <xdr:from>
      <xdr:col>13</xdr:col>
      <xdr:colOff>125909</xdr:colOff>
      <xdr:row>27</xdr:row>
      <xdr:rowOff>64519</xdr:rowOff>
    </xdr:from>
    <xdr:to>
      <xdr:col>16</xdr:col>
      <xdr:colOff>278470</xdr:colOff>
      <xdr:row>32</xdr:row>
      <xdr:rowOff>70530</xdr:rowOff>
    </xdr:to>
    <xdr:sp macro="" textlink="">
      <xdr:nvSpPr>
        <xdr:cNvPr id="29" name="Retângulo: Cantos Arredondados 2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45923FE5-D071-45CC-B10D-D3C0B67FDC1F}"/>
            </a:ext>
          </a:extLst>
        </xdr:cNvPr>
        <xdr:cNvSpPr/>
      </xdr:nvSpPr>
      <xdr:spPr>
        <a:xfrm>
          <a:off x="8086088" y="4840626"/>
          <a:ext cx="1989525" cy="890475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700" b="0">
              <a:latin typeface="Arial Rounded MT Bold" panose="020F0704030504030204" pitchFamily="34" charset="0"/>
              <a:cs typeface="Arial" panose="020B0604020202020204" pitchFamily="34" charset="0"/>
            </a:rPr>
            <a:t>Energia</a:t>
          </a:r>
          <a:r>
            <a:rPr lang="pt-BR" sz="1700" b="0" baseline="0">
              <a:latin typeface="Arial Rounded MT Bold" panose="020F0704030504030204" pitchFamily="34" charset="0"/>
              <a:cs typeface="Arial" panose="020B0604020202020204" pitchFamily="34" charset="0"/>
            </a:rPr>
            <a:t> comprada para revenda</a:t>
          </a:r>
          <a:endParaRPr lang="pt-BR" sz="1700" b="0"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293804</xdr:colOff>
      <xdr:row>21</xdr:row>
      <xdr:rowOff>70842</xdr:rowOff>
    </xdr:from>
    <xdr:to>
      <xdr:col>12</xdr:col>
      <xdr:colOff>437083</xdr:colOff>
      <xdr:row>26</xdr:row>
      <xdr:rowOff>49469</xdr:rowOff>
    </xdr:to>
    <xdr:sp macro="" textlink="">
      <xdr:nvSpPr>
        <xdr:cNvPr id="38" name="Retângulo: Cantos Arredondados 3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99484825-9C1B-4A9C-9EFD-7C7C18C3F59A}"/>
            </a:ext>
          </a:extLst>
        </xdr:cNvPr>
        <xdr:cNvSpPr/>
      </xdr:nvSpPr>
      <xdr:spPr>
        <a:xfrm>
          <a:off x="5804697" y="3785592"/>
          <a:ext cx="1980243" cy="863091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Usinas</a:t>
          </a:r>
        </a:p>
      </xdr:txBody>
    </xdr:sp>
    <xdr:clientData/>
  </xdr:twoCellAnchor>
  <xdr:twoCellAnchor>
    <xdr:from>
      <xdr:col>13</xdr:col>
      <xdr:colOff>144707</xdr:colOff>
      <xdr:row>21</xdr:row>
      <xdr:rowOff>64495</xdr:rowOff>
    </xdr:from>
    <xdr:to>
      <xdr:col>16</xdr:col>
      <xdr:colOff>275295</xdr:colOff>
      <xdr:row>26</xdr:row>
      <xdr:rowOff>49465</xdr:rowOff>
    </xdr:to>
    <xdr:sp macro="" textlink="">
      <xdr:nvSpPr>
        <xdr:cNvPr id="39" name="Retângulo: Cantos Arredondados 3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8A6D210E-A0AA-4EA2-B630-BB993F2A403D}"/>
            </a:ext>
          </a:extLst>
        </xdr:cNvPr>
        <xdr:cNvSpPr/>
      </xdr:nvSpPr>
      <xdr:spPr>
        <a:xfrm>
          <a:off x="8104886" y="3779245"/>
          <a:ext cx="1967552" cy="869434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Vendas por classe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984249</xdr:colOff>
      <xdr:row>0</xdr:row>
      <xdr:rowOff>144612</xdr:rowOff>
    </xdr:from>
    <xdr:to>
      <xdr:col>6</xdr:col>
      <xdr:colOff>1035296</xdr:colOff>
      <xdr:row>2</xdr:row>
      <xdr:rowOff>172362</xdr:rowOff>
    </xdr:to>
    <xdr:sp macro="" textlink="">
      <xdr:nvSpPr>
        <xdr:cNvPr id="7" name="Retângulo: Cantos Arredondados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15D27-CEDD-563D-DECA-8E6AB057965F}"/>
            </a:ext>
          </a:extLst>
        </xdr:cNvPr>
        <xdr:cNvSpPr/>
      </xdr:nvSpPr>
      <xdr:spPr>
        <a:xfrm>
          <a:off x="8330923" y="144612"/>
          <a:ext cx="1086373" cy="508141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92075</xdr:colOff>
      <xdr:row>0</xdr:row>
      <xdr:rowOff>162200</xdr:rowOff>
    </xdr:from>
    <xdr:to>
      <xdr:col>1</xdr:col>
      <xdr:colOff>2314575</xdr:colOff>
      <xdr:row>2</xdr:row>
      <xdr:rowOff>140400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19303ED8-3BB0-52DC-17EF-22D27E1114B8}"/>
            </a:ext>
          </a:extLst>
        </xdr:cNvPr>
        <xdr:cNvGrpSpPr/>
      </xdr:nvGrpSpPr>
      <xdr:grpSpPr>
        <a:xfrm>
          <a:off x="269875" y="162200"/>
          <a:ext cx="2222500" cy="460800"/>
          <a:chOff x="139700" y="82825"/>
          <a:chExt cx="2222500" cy="453749"/>
        </a:xfrm>
      </xdr:grpSpPr>
      <xdr:pic>
        <xdr:nvPicPr>
          <xdr:cNvPr id="2" name="Imagem 1" descr="brasao do cemig">
            <a:extLst>
              <a:ext uri="{FF2B5EF4-FFF2-40B4-BE49-F238E27FC236}">
                <a16:creationId xmlns:a16="http://schemas.microsoft.com/office/drawing/2014/main" id="{FDB6D3D6-34BC-F44C-F307-320D222405A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39700" y="98307"/>
            <a:ext cx="1203325" cy="414761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CF18711F-9126-320D-E6CB-E18AAE05F806}"/>
              </a:ext>
            </a:extLst>
          </xdr:cNvPr>
          <xdr:cNvSpPr txBox="1"/>
        </xdr:nvSpPr>
        <xdr:spPr>
          <a:xfrm>
            <a:off x="1368425" y="104773"/>
            <a:ext cx="993775" cy="431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6" name="Conector reto 15">
            <a:extLst>
              <a:ext uri="{FF2B5EF4-FFF2-40B4-BE49-F238E27FC236}">
                <a16:creationId xmlns:a16="http://schemas.microsoft.com/office/drawing/2014/main" id="{AEA4F1C3-EED0-9806-B453-EB9E9CF9A5FF}"/>
              </a:ext>
            </a:extLst>
          </xdr:cNvPr>
          <xdr:cNvCxnSpPr/>
        </xdr:nvCxnSpPr>
        <xdr:spPr>
          <a:xfrm rot="16200000" flipV="1">
            <a:off x="1178986" y="297237"/>
            <a:ext cx="428825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168275</xdr:rowOff>
    </xdr:from>
    <xdr:to>
      <xdr:col>1</xdr:col>
      <xdr:colOff>2336240</xdr:colOff>
      <xdr:row>3</xdr:row>
      <xdr:rowOff>84889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43CFF856-6365-4E1C-BBB1-499707CE8EBA}"/>
            </a:ext>
          </a:extLst>
        </xdr:cNvPr>
        <xdr:cNvGrpSpPr/>
      </xdr:nvGrpSpPr>
      <xdr:grpSpPr>
        <a:xfrm>
          <a:off x="374650" y="111125"/>
          <a:ext cx="2221940" cy="456364"/>
          <a:chOff x="10465733" y="235697"/>
          <a:chExt cx="2241550" cy="459539"/>
        </a:xfrm>
      </xdr:grpSpPr>
      <xdr:pic>
        <xdr:nvPicPr>
          <xdr:cNvPr id="15" name="Imagem 14" descr="brasao do cemig">
            <a:extLst>
              <a:ext uri="{FF2B5EF4-FFF2-40B4-BE49-F238E27FC236}">
                <a16:creationId xmlns:a16="http://schemas.microsoft.com/office/drawing/2014/main" id="{16C05F97-7032-0BAC-1F54-8E0C6A83EF7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7E5D9565-4363-3F1C-3BFB-A20091D0A3BD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7" name="Conector reto 16">
            <a:extLst>
              <a:ext uri="{FF2B5EF4-FFF2-40B4-BE49-F238E27FC236}">
                <a16:creationId xmlns:a16="http://schemas.microsoft.com/office/drawing/2014/main" id="{419C952B-24D6-8DEE-6645-8FD6B8BDBB29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2743200</xdr:colOff>
      <xdr:row>1</xdr:row>
      <xdr:rowOff>9525</xdr:rowOff>
    </xdr:from>
    <xdr:to>
      <xdr:col>7</xdr:col>
      <xdr:colOff>9000</xdr:colOff>
      <xdr:row>3</xdr:row>
      <xdr:rowOff>155124</xdr:rowOff>
    </xdr:to>
    <xdr:sp macro="" textlink="">
      <xdr:nvSpPr>
        <xdr:cNvPr id="18" name="Retângulo: Cantos Arredondados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650771-6002-44B0-ACFA-B7C0411C3D2F}"/>
            </a:ext>
          </a:extLst>
        </xdr:cNvPr>
        <xdr:cNvSpPr/>
      </xdr:nvSpPr>
      <xdr:spPr>
        <a:xfrm>
          <a:off x="8286750" y="123825"/>
          <a:ext cx="1152000" cy="52659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143995</xdr:colOff>
      <xdr:row>1</xdr:row>
      <xdr:rowOff>92822</xdr:rowOff>
    </xdr:from>
    <xdr:to>
      <xdr:col>1</xdr:col>
      <xdr:colOff>2369110</xdr:colOff>
      <xdr:row>3</xdr:row>
      <xdr:rowOff>95161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77C43F33-E94E-4908-AB3E-1B1D514A8064}"/>
            </a:ext>
          </a:extLst>
        </xdr:cNvPr>
        <xdr:cNvGrpSpPr/>
      </xdr:nvGrpSpPr>
      <xdr:grpSpPr>
        <a:xfrm>
          <a:off x="321795" y="213472"/>
          <a:ext cx="2225115" cy="459539"/>
          <a:chOff x="10465733" y="235697"/>
          <a:chExt cx="2241550" cy="459539"/>
        </a:xfrm>
      </xdr:grpSpPr>
      <xdr:pic>
        <xdr:nvPicPr>
          <xdr:cNvPr id="6" name="Imagem 5" descr="brasao do cemig">
            <a:extLst>
              <a:ext uri="{FF2B5EF4-FFF2-40B4-BE49-F238E27FC236}">
                <a16:creationId xmlns:a16="http://schemas.microsoft.com/office/drawing/2014/main" id="{41ACFA7C-DCEC-9C93-0713-7554F13637D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25FF84BB-E1AE-C5B4-A795-1CB487D41AF3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8" name="Conector reto 7">
            <a:extLst>
              <a:ext uri="{FF2B5EF4-FFF2-40B4-BE49-F238E27FC236}">
                <a16:creationId xmlns:a16="http://schemas.microsoft.com/office/drawing/2014/main" id="{9123AAE6-C2F2-7C88-05C9-06F5FF06E39B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65554</xdr:colOff>
      <xdr:row>1</xdr:row>
      <xdr:rowOff>121398</xdr:rowOff>
    </xdr:from>
    <xdr:to>
      <xdr:col>2</xdr:col>
      <xdr:colOff>1132854</xdr:colOff>
      <xdr:row>3</xdr:row>
      <xdr:rowOff>178097</xdr:rowOff>
    </xdr:to>
    <xdr:sp macro="" textlink="">
      <xdr:nvSpPr>
        <xdr:cNvPr id="15" name="Retângulo: Cantos Arredondados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8D27A2-CD4C-4491-8432-5D013605A58B}"/>
            </a:ext>
          </a:extLst>
        </xdr:cNvPr>
        <xdr:cNvSpPr/>
      </xdr:nvSpPr>
      <xdr:spPr>
        <a:xfrm>
          <a:off x="2802404" y="349998"/>
          <a:ext cx="1067300" cy="51389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2</xdr:col>
      <xdr:colOff>1183233</xdr:colOff>
      <xdr:row>1</xdr:row>
      <xdr:rowOff>121398</xdr:rowOff>
    </xdr:from>
    <xdr:to>
      <xdr:col>3</xdr:col>
      <xdr:colOff>1087230</xdr:colOff>
      <xdr:row>3</xdr:row>
      <xdr:rowOff>178097</xdr:rowOff>
    </xdr:to>
    <xdr:sp macro="" textlink="">
      <xdr:nvSpPr>
        <xdr:cNvPr id="16" name="Retângulo: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7D678A-F8E8-4324-BE82-11A6288E7C4F}"/>
            </a:ext>
          </a:extLst>
        </xdr:cNvPr>
        <xdr:cNvSpPr/>
      </xdr:nvSpPr>
      <xdr:spPr>
        <a:xfrm>
          <a:off x="3920083" y="349998"/>
          <a:ext cx="1345447" cy="51389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>
    <xdr:from>
      <xdr:col>89</xdr:col>
      <xdr:colOff>95596</xdr:colOff>
      <xdr:row>260</xdr:row>
      <xdr:rowOff>121494</xdr:rowOff>
    </xdr:from>
    <xdr:to>
      <xdr:col>89</xdr:col>
      <xdr:colOff>2321246</xdr:colOff>
      <xdr:row>262</xdr:row>
      <xdr:rowOff>132294</xdr:rowOff>
    </xdr:to>
    <xdr:grpSp>
      <xdr:nvGrpSpPr>
        <xdr:cNvPr id="17" name="Agrupar 16">
          <a:extLst>
            <a:ext uri="{FF2B5EF4-FFF2-40B4-BE49-F238E27FC236}">
              <a16:creationId xmlns:a16="http://schemas.microsoft.com/office/drawing/2014/main" id="{6EF35FDA-8141-4BC4-A62E-FA3BDDD457D8}"/>
            </a:ext>
          </a:extLst>
        </xdr:cNvPr>
        <xdr:cNvGrpSpPr/>
      </xdr:nvGrpSpPr>
      <xdr:grpSpPr>
        <a:xfrm>
          <a:off x="73177746" y="60770344"/>
          <a:ext cx="2225650" cy="468000"/>
          <a:chOff x="10465733" y="235697"/>
          <a:chExt cx="2241550" cy="459539"/>
        </a:xfrm>
      </xdr:grpSpPr>
      <xdr:pic>
        <xdr:nvPicPr>
          <xdr:cNvPr id="18" name="Imagem 17" descr="brasao do cemig">
            <a:extLst>
              <a:ext uri="{FF2B5EF4-FFF2-40B4-BE49-F238E27FC236}">
                <a16:creationId xmlns:a16="http://schemas.microsoft.com/office/drawing/2014/main" id="{0602549D-ED30-4891-8B13-33997E6BBA1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9" name="CaixaDeTexto 18">
            <a:extLst>
              <a:ext uri="{FF2B5EF4-FFF2-40B4-BE49-F238E27FC236}">
                <a16:creationId xmlns:a16="http://schemas.microsoft.com/office/drawing/2014/main" id="{DC18AFE7-6814-A148-B759-290137272530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20" name="Conector reto 19">
            <a:extLst>
              <a:ext uri="{FF2B5EF4-FFF2-40B4-BE49-F238E27FC236}">
                <a16:creationId xmlns:a16="http://schemas.microsoft.com/office/drawing/2014/main" id="{DB2E1AA6-2C5F-7A3F-DE75-4ACEA1C14B92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93009</xdr:colOff>
      <xdr:row>2018</xdr:row>
      <xdr:rowOff>111310</xdr:rowOff>
    </xdr:from>
    <xdr:to>
      <xdr:col>1</xdr:col>
      <xdr:colOff>2311774</xdr:colOff>
      <xdr:row>2020</xdr:row>
      <xdr:rowOff>122110</xdr:rowOff>
    </xdr:to>
    <xdr:grpSp>
      <xdr:nvGrpSpPr>
        <xdr:cNvPr id="21" name="Agrupar 20">
          <a:extLst>
            <a:ext uri="{FF2B5EF4-FFF2-40B4-BE49-F238E27FC236}">
              <a16:creationId xmlns:a16="http://schemas.microsoft.com/office/drawing/2014/main" id="{5457F8CF-B6B9-43C6-8F18-319139D74FB5}"/>
            </a:ext>
          </a:extLst>
        </xdr:cNvPr>
        <xdr:cNvGrpSpPr/>
      </xdr:nvGrpSpPr>
      <xdr:grpSpPr>
        <a:xfrm>
          <a:off x="270809" y="471649610"/>
          <a:ext cx="2218765" cy="468000"/>
          <a:chOff x="10465733" y="235697"/>
          <a:chExt cx="2241550" cy="459539"/>
        </a:xfrm>
      </xdr:grpSpPr>
      <xdr:pic>
        <xdr:nvPicPr>
          <xdr:cNvPr id="22" name="Imagem 21" descr="brasao do cemig">
            <a:extLst>
              <a:ext uri="{FF2B5EF4-FFF2-40B4-BE49-F238E27FC236}">
                <a16:creationId xmlns:a16="http://schemas.microsoft.com/office/drawing/2014/main" id="{649EBAE6-146F-46FB-78A2-F2EE8E43DBC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" name="CaixaDeTexto 22">
            <a:extLst>
              <a:ext uri="{FF2B5EF4-FFF2-40B4-BE49-F238E27FC236}">
                <a16:creationId xmlns:a16="http://schemas.microsoft.com/office/drawing/2014/main" id="{C549EC5A-EC4E-DD8C-02F7-E3BE21E00928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24" name="Conector reto 23">
            <a:extLst>
              <a:ext uri="{FF2B5EF4-FFF2-40B4-BE49-F238E27FC236}">
                <a16:creationId xmlns:a16="http://schemas.microsoft.com/office/drawing/2014/main" id="{D7E0C114-FC17-29CD-8F25-BC856BE23505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130175</xdr:colOff>
      <xdr:row>3028</xdr:row>
      <xdr:rowOff>123824</xdr:rowOff>
    </xdr:from>
    <xdr:to>
      <xdr:col>1</xdr:col>
      <xdr:colOff>2355290</xdr:colOff>
      <xdr:row>3030</xdr:row>
      <xdr:rowOff>126163</xdr:rowOff>
    </xdr:to>
    <xdr:grpSp>
      <xdr:nvGrpSpPr>
        <xdr:cNvPr id="27" name="Agrupar 26">
          <a:extLst>
            <a:ext uri="{FF2B5EF4-FFF2-40B4-BE49-F238E27FC236}">
              <a16:creationId xmlns:a16="http://schemas.microsoft.com/office/drawing/2014/main" id="{B69834D9-DFE5-40E9-A613-4E12EA7D0429}"/>
            </a:ext>
          </a:extLst>
        </xdr:cNvPr>
        <xdr:cNvGrpSpPr/>
      </xdr:nvGrpSpPr>
      <xdr:grpSpPr>
        <a:xfrm>
          <a:off x="307975" y="706497824"/>
          <a:ext cx="2225115" cy="459539"/>
          <a:chOff x="10465733" y="235697"/>
          <a:chExt cx="2241550" cy="459539"/>
        </a:xfrm>
      </xdr:grpSpPr>
      <xdr:pic>
        <xdr:nvPicPr>
          <xdr:cNvPr id="28" name="Imagem 27" descr="brasao do cemig">
            <a:extLst>
              <a:ext uri="{FF2B5EF4-FFF2-40B4-BE49-F238E27FC236}">
                <a16:creationId xmlns:a16="http://schemas.microsoft.com/office/drawing/2014/main" id="{8C6896D0-8641-A6DC-87EB-D222C239BF3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9" name="CaixaDeTexto 28">
            <a:extLst>
              <a:ext uri="{FF2B5EF4-FFF2-40B4-BE49-F238E27FC236}">
                <a16:creationId xmlns:a16="http://schemas.microsoft.com/office/drawing/2014/main" id="{2B22985B-7922-87C8-A779-0BE138DEB53C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30" name="Conector reto 29">
            <a:extLst>
              <a:ext uri="{FF2B5EF4-FFF2-40B4-BE49-F238E27FC236}">
                <a16:creationId xmlns:a16="http://schemas.microsoft.com/office/drawing/2014/main" id="{AD9AFA24-D61C-F6B0-68B6-769625734BE5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12700</xdr:colOff>
      <xdr:row>1</xdr:row>
      <xdr:rowOff>124573</xdr:rowOff>
    </xdr:from>
    <xdr:to>
      <xdr:col>4</xdr:col>
      <xdr:colOff>1221314</xdr:colOff>
      <xdr:row>3</xdr:row>
      <xdr:rowOff>172307</xdr:rowOff>
    </xdr:to>
    <xdr:sp macro="" textlink="">
      <xdr:nvSpPr>
        <xdr:cNvPr id="33" name="Retângulo: Cantos Arredondados 3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5BE04A-469E-4BAF-A642-0518E4AFB05F}"/>
            </a:ext>
          </a:extLst>
        </xdr:cNvPr>
        <xdr:cNvSpPr/>
      </xdr:nvSpPr>
      <xdr:spPr>
        <a:xfrm>
          <a:off x="5632450" y="353173"/>
          <a:ext cx="1208614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4</xdr:col>
      <xdr:colOff>1283073</xdr:colOff>
      <xdr:row>1</xdr:row>
      <xdr:rowOff>124573</xdr:rowOff>
    </xdr:from>
    <xdr:to>
      <xdr:col>5</xdr:col>
      <xdr:colOff>1031188</xdr:colOff>
      <xdr:row>3</xdr:row>
      <xdr:rowOff>172307</xdr:rowOff>
    </xdr:to>
    <xdr:sp macro="" textlink="">
      <xdr:nvSpPr>
        <xdr:cNvPr id="34" name="Retângulo: Cantos Arredondados 3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07E366A-667C-42DE-9567-CE03206F96A4}"/>
            </a:ext>
          </a:extLst>
        </xdr:cNvPr>
        <xdr:cNvSpPr/>
      </xdr:nvSpPr>
      <xdr:spPr>
        <a:xfrm>
          <a:off x="6902823" y="353173"/>
          <a:ext cx="1189565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sx="50000" sy="5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5</xdr:col>
      <xdr:colOff>1089772</xdr:colOff>
      <xdr:row>1</xdr:row>
      <xdr:rowOff>124573</xdr:rowOff>
    </xdr:from>
    <xdr:to>
      <xdr:col>6</xdr:col>
      <xdr:colOff>837700</xdr:colOff>
      <xdr:row>3</xdr:row>
      <xdr:rowOff>172307</xdr:rowOff>
    </xdr:to>
    <xdr:sp macro="" textlink="">
      <xdr:nvSpPr>
        <xdr:cNvPr id="35" name="Retângulo: Cantos Arredondados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41B0BFF-4716-4066-A8FF-C685999C222B}"/>
            </a:ext>
          </a:extLst>
        </xdr:cNvPr>
        <xdr:cNvSpPr/>
      </xdr:nvSpPr>
      <xdr:spPr>
        <a:xfrm>
          <a:off x="8150972" y="353173"/>
          <a:ext cx="1189378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3</xdr:col>
      <xdr:colOff>211979</xdr:colOff>
      <xdr:row>2016</xdr:row>
      <xdr:rowOff>19794</xdr:rowOff>
    </xdr:from>
    <xdr:to>
      <xdr:col>4</xdr:col>
      <xdr:colOff>58958</xdr:colOff>
      <xdr:row>2018</xdr:row>
      <xdr:rowOff>76120</xdr:rowOff>
    </xdr:to>
    <xdr:sp macro="" textlink="">
      <xdr:nvSpPr>
        <xdr:cNvPr id="36" name="Retângulo: Cantos Arredondados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240D1F-8D0E-4E29-941D-EE500D2F29CE}"/>
            </a:ext>
          </a:extLst>
        </xdr:cNvPr>
        <xdr:cNvSpPr/>
      </xdr:nvSpPr>
      <xdr:spPr>
        <a:xfrm>
          <a:off x="4649508" y="462083147"/>
          <a:ext cx="1281332" cy="504561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4</xdr:col>
      <xdr:colOff>133241</xdr:colOff>
      <xdr:row>2016</xdr:row>
      <xdr:rowOff>19794</xdr:rowOff>
    </xdr:from>
    <xdr:to>
      <xdr:col>5</xdr:col>
      <xdr:colOff>21363</xdr:colOff>
      <xdr:row>2018</xdr:row>
      <xdr:rowOff>76120</xdr:rowOff>
    </xdr:to>
    <xdr:sp macro="" textlink="">
      <xdr:nvSpPr>
        <xdr:cNvPr id="37" name="Retângulo: Cantos Arredondados 3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0858301-F901-42BD-8779-698E02AB6E8A}"/>
            </a:ext>
          </a:extLst>
        </xdr:cNvPr>
        <xdr:cNvSpPr/>
      </xdr:nvSpPr>
      <xdr:spPr>
        <a:xfrm>
          <a:off x="6005123" y="462083147"/>
          <a:ext cx="1322475" cy="504561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>
    <xdr:from>
      <xdr:col>2</xdr:col>
      <xdr:colOff>628277</xdr:colOff>
      <xdr:row>2018</xdr:row>
      <xdr:rowOff>123822</xdr:rowOff>
    </xdr:from>
    <xdr:to>
      <xdr:col>3</xdr:col>
      <xdr:colOff>398616</xdr:colOff>
      <xdr:row>2020</xdr:row>
      <xdr:rowOff>180147</xdr:rowOff>
    </xdr:to>
    <xdr:sp macro="" textlink="">
      <xdr:nvSpPr>
        <xdr:cNvPr id="38" name="Retângulo: Cantos Arredondados 3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0AA123C-DF62-41C6-8948-322C16402A83}"/>
            </a:ext>
          </a:extLst>
        </xdr:cNvPr>
        <xdr:cNvSpPr/>
      </xdr:nvSpPr>
      <xdr:spPr>
        <a:xfrm>
          <a:off x="3631453" y="462635410"/>
          <a:ext cx="1204692" cy="504561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3</xdr:col>
      <xdr:colOff>460375</xdr:colOff>
      <xdr:row>2018</xdr:row>
      <xdr:rowOff>123822</xdr:rowOff>
    </xdr:from>
    <xdr:to>
      <xdr:col>4</xdr:col>
      <xdr:colOff>208490</xdr:colOff>
      <xdr:row>2020</xdr:row>
      <xdr:rowOff>180147</xdr:rowOff>
    </xdr:to>
    <xdr:sp macro="" textlink="">
      <xdr:nvSpPr>
        <xdr:cNvPr id="39" name="Retângulo: Cantos Arredondados 3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028E5C5-F431-4655-BD8B-05913767D890}"/>
            </a:ext>
          </a:extLst>
        </xdr:cNvPr>
        <xdr:cNvSpPr/>
      </xdr:nvSpPr>
      <xdr:spPr>
        <a:xfrm>
          <a:off x="4897904" y="462635410"/>
          <a:ext cx="1182468" cy="504561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4</xdr:col>
      <xdr:colOff>276599</xdr:colOff>
      <xdr:row>2018</xdr:row>
      <xdr:rowOff>123822</xdr:rowOff>
    </xdr:from>
    <xdr:to>
      <xdr:col>5</xdr:col>
      <xdr:colOff>18177</xdr:colOff>
      <xdr:row>2020</xdr:row>
      <xdr:rowOff>180147</xdr:rowOff>
    </xdr:to>
    <xdr:sp macro="" textlink="">
      <xdr:nvSpPr>
        <xdr:cNvPr id="40" name="Retângulo: Cantos Arredondados 3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F1093A9-1A68-47F8-88A0-25F7277EA338}"/>
            </a:ext>
          </a:extLst>
        </xdr:cNvPr>
        <xdr:cNvSpPr/>
      </xdr:nvSpPr>
      <xdr:spPr>
        <a:xfrm>
          <a:off x="6148481" y="462635410"/>
          <a:ext cx="1175931" cy="504561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2</xdr:col>
      <xdr:colOff>55282</xdr:colOff>
      <xdr:row>3028</xdr:row>
      <xdr:rowOff>126812</xdr:rowOff>
    </xdr:from>
    <xdr:to>
      <xdr:col>2</xdr:col>
      <xdr:colOff>1122582</xdr:colOff>
      <xdr:row>3030</xdr:row>
      <xdr:rowOff>173612</xdr:rowOff>
    </xdr:to>
    <xdr:sp macro="" textlink="">
      <xdr:nvSpPr>
        <xdr:cNvPr id="41" name="Retângulo: Cantos Arredondados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C33DB8-E7F2-4272-85DE-500B69E5FC4F}"/>
            </a:ext>
          </a:extLst>
        </xdr:cNvPr>
        <xdr:cNvSpPr/>
      </xdr:nvSpPr>
      <xdr:spPr>
        <a:xfrm>
          <a:off x="2788957" y="695518487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2</xdr:col>
      <xdr:colOff>1172959</xdr:colOff>
      <xdr:row>3028</xdr:row>
      <xdr:rowOff>126812</xdr:rowOff>
    </xdr:from>
    <xdr:to>
      <xdr:col>3</xdr:col>
      <xdr:colOff>1064256</xdr:colOff>
      <xdr:row>3030</xdr:row>
      <xdr:rowOff>173612</xdr:rowOff>
    </xdr:to>
    <xdr:sp macro="" textlink="">
      <xdr:nvSpPr>
        <xdr:cNvPr id="42" name="Retângulo: Cantos Arredondados 4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D129645-719B-47E0-851C-0AC70A2B8698}"/>
            </a:ext>
          </a:extLst>
        </xdr:cNvPr>
        <xdr:cNvSpPr/>
      </xdr:nvSpPr>
      <xdr:spPr>
        <a:xfrm>
          <a:off x="3906634" y="695518487"/>
          <a:ext cx="1329572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>
    <xdr:from>
      <xdr:col>3</xdr:col>
      <xdr:colOff>1437528</xdr:colOff>
      <xdr:row>3028</xdr:row>
      <xdr:rowOff>126812</xdr:rowOff>
    </xdr:from>
    <xdr:to>
      <xdr:col>4</xdr:col>
      <xdr:colOff>1211042</xdr:colOff>
      <xdr:row>3030</xdr:row>
      <xdr:rowOff>173612</xdr:rowOff>
    </xdr:to>
    <xdr:sp macro="" textlink="">
      <xdr:nvSpPr>
        <xdr:cNvPr id="43" name="Retângulo: Cantos Arredondados 4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8E3F897-64F8-4BBB-8628-2B3D41272FEE}"/>
            </a:ext>
          </a:extLst>
        </xdr:cNvPr>
        <xdr:cNvSpPr/>
      </xdr:nvSpPr>
      <xdr:spPr>
        <a:xfrm>
          <a:off x="5609478" y="695518487"/>
          <a:ext cx="1211789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4</xdr:col>
      <xdr:colOff>1282326</xdr:colOff>
      <xdr:row>3028</xdr:row>
      <xdr:rowOff>123637</xdr:rowOff>
    </xdr:from>
    <xdr:to>
      <xdr:col>5</xdr:col>
      <xdr:colOff>1020916</xdr:colOff>
      <xdr:row>3030</xdr:row>
      <xdr:rowOff>173612</xdr:rowOff>
    </xdr:to>
    <xdr:sp macro="" textlink="">
      <xdr:nvSpPr>
        <xdr:cNvPr id="44" name="Retângulo: Cantos Arredondados 4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0263C86-ACA8-4838-BF1A-95856ED8EDAD}"/>
            </a:ext>
          </a:extLst>
        </xdr:cNvPr>
        <xdr:cNvSpPr/>
      </xdr:nvSpPr>
      <xdr:spPr>
        <a:xfrm>
          <a:off x="7168776" y="705983287"/>
          <a:ext cx="1176865" cy="50717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5</xdr:col>
      <xdr:colOff>1092200</xdr:colOff>
      <xdr:row>3028</xdr:row>
      <xdr:rowOff>126812</xdr:rowOff>
    </xdr:from>
    <xdr:to>
      <xdr:col>6</xdr:col>
      <xdr:colOff>840128</xdr:colOff>
      <xdr:row>3030</xdr:row>
      <xdr:rowOff>173612</xdr:rowOff>
    </xdr:to>
    <xdr:sp macro="" textlink="">
      <xdr:nvSpPr>
        <xdr:cNvPr id="45" name="Retângulo: Cantos Arredondados 4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7EB0F97-2E94-4064-9E37-4FEAA2FDE144}"/>
            </a:ext>
          </a:extLst>
        </xdr:cNvPr>
        <xdr:cNvSpPr/>
      </xdr:nvSpPr>
      <xdr:spPr>
        <a:xfrm>
          <a:off x="8083550" y="705643562"/>
          <a:ext cx="1119528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89</xdr:col>
      <xdr:colOff>2650671</xdr:colOff>
      <xdr:row>260</xdr:row>
      <xdr:rowOff>114299</xdr:rowOff>
    </xdr:from>
    <xdr:to>
      <xdr:col>90</xdr:col>
      <xdr:colOff>826640</xdr:colOff>
      <xdr:row>262</xdr:row>
      <xdr:rowOff>164274</xdr:rowOff>
    </xdr:to>
    <xdr:sp macro="" textlink="">
      <xdr:nvSpPr>
        <xdr:cNvPr id="49" name="Retângulo: Cantos Arredondados 4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E6F677-5416-432C-B882-7475121D353F}"/>
            </a:ext>
          </a:extLst>
        </xdr:cNvPr>
        <xdr:cNvSpPr/>
      </xdr:nvSpPr>
      <xdr:spPr>
        <a:xfrm>
          <a:off x="75764571" y="60798074"/>
          <a:ext cx="1185869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90</xdr:col>
      <xdr:colOff>1140039</xdr:colOff>
      <xdr:row>260</xdr:row>
      <xdr:rowOff>114299</xdr:rowOff>
    </xdr:from>
    <xdr:to>
      <xdr:col>91</xdr:col>
      <xdr:colOff>1050078</xdr:colOff>
      <xdr:row>262</xdr:row>
      <xdr:rowOff>161099</xdr:rowOff>
    </xdr:to>
    <xdr:sp macro="" textlink="">
      <xdr:nvSpPr>
        <xdr:cNvPr id="50" name="Retângulo: Cantos Arredondados 4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BBE3F54-9B48-412A-8188-FAB04EE122DC}"/>
            </a:ext>
          </a:extLst>
        </xdr:cNvPr>
        <xdr:cNvSpPr/>
      </xdr:nvSpPr>
      <xdr:spPr>
        <a:xfrm>
          <a:off x="77263839" y="60798074"/>
          <a:ext cx="1205439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91</xdr:col>
      <xdr:colOff>1115011</xdr:colOff>
      <xdr:row>260</xdr:row>
      <xdr:rowOff>114299</xdr:rowOff>
    </xdr:from>
    <xdr:to>
      <xdr:col>92</xdr:col>
      <xdr:colOff>991939</xdr:colOff>
      <xdr:row>262</xdr:row>
      <xdr:rowOff>161099</xdr:rowOff>
    </xdr:to>
    <xdr:sp macro="" textlink="">
      <xdr:nvSpPr>
        <xdr:cNvPr id="51" name="Retângulo: Cantos Arredondados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74A640D-CEA7-4397-9714-5DE7D5C0C078}"/>
            </a:ext>
          </a:extLst>
        </xdr:cNvPr>
        <xdr:cNvSpPr/>
      </xdr:nvSpPr>
      <xdr:spPr>
        <a:xfrm>
          <a:off x="78534211" y="60798074"/>
          <a:ext cx="1172328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92</xdr:col>
      <xdr:colOff>1060049</xdr:colOff>
      <xdr:row>260</xdr:row>
      <xdr:rowOff>114299</xdr:rowOff>
    </xdr:from>
    <xdr:to>
      <xdr:col>93</xdr:col>
      <xdr:colOff>997116</xdr:colOff>
      <xdr:row>262</xdr:row>
      <xdr:rowOff>161099</xdr:rowOff>
    </xdr:to>
    <xdr:sp macro="" textlink="">
      <xdr:nvSpPr>
        <xdr:cNvPr id="52" name="Retângulo: Cantos Arredondados 5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1DE471F-39FC-41DF-ACAF-F987385DDDBB}"/>
            </a:ext>
          </a:extLst>
        </xdr:cNvPr>
        <xdr:cNvSpPr/>
      </xdr:nvSpPr>
      <xdr:spPr>
        <a:xfrm>
          <a:off x="79774649" y="60798074"/>
          <a:ext cx="1232467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89</xdr:col>
      <xdr:colOff>0</xdr:colOff>
      <xdr:row>299</xdr:row>
      <xdr:rowOff>209550</xdr:rowOff>
    </xdr:from>
    <xdr:to>
      <xdr:col>89</xdr:col>
      <xdr:colOff>1189044</xdr:colOff>
      <xdr:row>301</xdr:row>
      <xdr:rowOff>202375</xdr:rowOff>
    </xdr:to>
    <xdr:sp macro="" textlink="">
      <xdr:nvSpPr>
        <xdr:cNvPr id="2" name="Retângulo: Cantos Arredondados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FB3AED-59C2-4378-BD0C-79E280635268}"/>
            </a:ext>
          </a:extLst>
        </xdr:cNvPr>
        <xdr:cNvSpPr/>
      </xdr:nvSpPr>
      <xdr:spPr>
        <a:xfrm>
          <a:off x="73113900" y="72732900"/>
          <a:ext cx="1189044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89</xdr:col>
      <xdr:colOff>1496093</xdr:colOff>
      <xdr:row>299</xdr:row>
      <xdr:rowOff>209550</xdr:rowOff>
    </xdr:from>
    <xdr:to>
      <xdr:col>89</xdr:col>
      <xdr:colOff>2698357</xdr:colOff>
      <xdr:row>301</xdr:row>
      <xdr:rowOff>199200</xdr:rowOff>
    </xdr:to>
    <xdr:sp macro="" textlink="">
      <xdr:nvSpPr>
        <xdr:cNvPr id="3" name="Retângulo: Cantos Arredondados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6E5D208-0767-48A2-8B87-0D49D1F80A58}"/>
            </a:ext>
          </a:extLst>
        </xdr:cNvPr>
        <xdr:cNvSpPr/>
      </xdr:nvSpPr>
      <xdr:spPr>
        <a:xfrm>
          <a:off x="74609993" y="72732900"/>
          <a:ext cx="1202264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89</xdr:col>
      <xdr:colOff>2772815</xdr:colOff>
      <xdr:row>299</xdr:row>
      <xdr:rowOff>209550</xdr:rowOff>
    </xdr:from>
    <xdr:to>
      <xdr:col>90</xdr:col>
      <xdr:colOff>935243</xdr:colOff>
      <xdr:row>301</xdr:row>
      <xdr:rowOff>199200</xdr:rowOff>
    </xdr:to>
    <xdr:sp macro="" textlink="">
      <xdr:nvSpPr>
        <xdr:cNvPr id="4" name="Retângulo: Cantos Arredondados 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B365E0A-675F-48B5-8255-C64E8542AC39}"/>
            </a:ext>
          </a:extLst>
        </xdr:cNvPr>
        <xdr:cNvSpPr/>
      </xdr:nvSpPr>
      <xdr:spPr>
        <a:xfrm>
          <a:off x="75886715" y="72732900"/>
          <a:ext cx="1172328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90</xdr:col>
      <xdr:colOff>997003</xdr:colOff>
      <xdr:row>299</xdr:row>
      <xdr:rowOff>209550</xdr:rowOff>
    </xdr:from>
    <xdr:to>
      <xdr:col>91</xdr:col>
      <xdr:colOff>934070</xdr:colOff>
      <xdr:row>301</xdr:row>
      <xdr:rowOff>199200</xdr:rowOff>
    </xdr:to>
    <xdr:sp macro="" textlink="">
      <xdr:nvSpPr>
        <xdr:cNvPr id="9" name="Retângulo: Cantos Arredondados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0A2FE8-6668-452C-ADF8-E27CDAFD291E}"/>
            </a:ext>
          </a:extLst>
        </xdr:cNvPr>
        <xdr:cNvSpPr/>
      </xdr:nvSpPr>
      <xdr:spPr>
        <a:xfrm>
          <a:off x="77120803" y="72732900"/>
          <a:ext cx="1232467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89</xdr:col>
      <xdr:colOff>0</xdr:colOff>
      <xdr:row>346</xdr:row>
      <xdr:rowOff>200025</xdr:rowOff>
    </xdr:from>
    <xdr:to>
      <xdr:col>89</xdr:col>
      <xdr:colOff>1192219</xdr:colOff>
      <xdr:row>348</xdr:row>
      <xdr:rowOff>192850</xdr:rowOff>
    </xdr:to>
    <xdr:sp macro="" textlink="">
      <xdr:nvSpPr>
        <xdr:cNvPr id="10" name="Retângulo: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F4F8F6-98A0-41BF-94C8-8B27507295C6}"/>
            </a:ext>
          </a:extLst>
        </xdr:cNvPr>
        <xdr:cNvSpPr/>
      </xdr:nvSpPr>
      <xdr:spPr>
        <a:xfrm>
          <a:off x="73113900" y="87525225"/>
          <a:ext cx="1189044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89</xdr:col>
      <xdr:colOff>1496093</xdr:colOff>
      <xdr:row>346</xdr:row>
      <xdr:rowOff>200025</xdr:rowOff>
    </xdr:from>
    <xdr:to>
      <xdr:col>89</xdr:col>
      <xdr:colOff>2695182</xdr:colOff>
      <xdr:row>348</xdr:row>
      <xdr:rowOff>189675</xdr:rowOff>
    </xdr:to>
    <xdr:sp macro="" textlink="">
      <xdr:nvSpPr>
        <xdr:cNvPr id="11" name="Retângulo: Cantos Arredondados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F6DEC00-DF66-4CB2-A32E-FFC325A50E07}"/>
            </a:ext>
          </a:extLst>
        </xdr:cNvPr>
        <xdr:cNvSpPr/>
      </xdr:nvSpPr>
      <xdr:spPr>
        <a:xfrm>
          <a:off x="71219093" y="86839425"/>
          <a:ext cx="1199089" cy="4849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89</xdr:col>
      <xdr:colOff>2766567</xdr:colOff>
      <xdr:row>346</xdr:row>
      <xdr:rowOff>200025</xdr:rowOff>
    </xdr:from>
    <xdr:to>
      <xdr:col>90</xdr:col>
      <xdr:colOff>1078017</xdr:colOff>
      <xdr:row>348</xdr:row>
      <xdr:rowOff>189675</xdr:rowOff>
    </xdr:to>
    <xdr:sp macro="" textlink="">
      <xdr:nvSpPr>
        <xdr:cNvPr id="12" name="Retângulo: Cantos Arredondados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19ED75D-BBCB-4978-949E-DB2F5085C904}"/>
            </a:ext>
          </a:extLst>
        </xdr:cNvPr>
        <xdr:cNvSpPr/>
      </xdr:nvSpPr>
      <xdr:spPr>
        <a:xfrm>
          <a:off x="72489567" y="86839425"/>
          <a:ext cx="1188000" cy="4849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90</xdr:col>
      <xdr:colOff>1149403</xdr:colOff>
      <xdr:row>346</xdr:row>
      <xdr:rowOff>200025</xdr:rowOff>
    </xdr:from>
    <xdr:to>
      <xdr:col>91</xdr:col>
      <xdr:colOff>1086470</xdr:colOff>
      <xdr:row>348</xdr:row>
      <xdr:rowOff>189675</xdr:rowOff>
    </xdr:to>
    <xdr:sp macro="" textlink="">
      <xdr:nvSpPr>
        <xdr:cNvPr id="13" name="Retângulo: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E055A20-2DD5-4670-AF15-BABAAB6AB12B}"/>
            </a:ext>
          </a:extLst>
        </xdr:cNvPr>
        <xdr:cNvSpPr/>
      </xdr:nvSpPr>
      <xdr:spPr>
        <a:xfrm>
          <a:off x="73748953" y="86839425"/>
          <a:ext cx="1175317" cy="4849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96183</xdr:colOff>
      <xdr:row>0</xdr:row>
      <xdr:rowOff>162484</xdr:rowOff>
    </xdr:from>
    <xdr:to>
      <xdr:col>1</xdr:col>
      <xdr:colOff>2321833</xdr:colOff>
      <xdr:row>2</xdr:row>
      <xdr:rowOff>140684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7A307FC7-27A8-4D0E-B23C-C6BFC4705275}"/>
            </a:ext>
          </a:extLst>
        </xdr:cNvPr>
        <xdr:cNvGrpSpPr/>
      </xdr:nvGrpSpPr>
      <xdr:grpSpPr>
        <a:xfrm>
          <a:off x="273983" y="162484"/>
          <a:ext cx="2225650" cy="460800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94640166-DABE-0531-96DC-2D1DB00A255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F34FAAA7-1CCF-E8E5-0921-CA81ED26FF3C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1C275826-6FB2-8BCD-940C-2D1F59ED3944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3</xdr:col>
      <xdr:colOff>415925</xdr:colOff>
      <xdr:row>0</xdr:row>
      <xdr:rowOff>158750</xdr:rowOff>
    </xdr:from>
    <xdr:to>
      <xdr:col>4</xdr:col>
      <xdr:colOff>48125</xdr:colOff>
      <xdr:row>2</xdr:row>
      <xdr:rowOff>178470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9925F5-4D6C-4F68-8A14-8AD44DDA30E1}"/>
            </a:ext>
          </a:extLst>
        </xdr:cNvPr>
        <xdr:cNvSpPr/>
      </xdr:nvSpPr>
      <xdr:spPr>
        <a:xfrm>
          <a:off x="5911850" y="158750"/>
          <a:ext cx="1070475" cy="49597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absolute">
    <xdr:from>
      <xdr:col>4</xdr:col>
      <xdr:colOff>104767</xdr:colOff>
      <xdr:row>0</xdr:row>
      <xdr:rowOff>158750</xdr:rowOff>
    </xdr:from>
    <xdr:to>
      <xdr:col>5</xdr:col>
      <xdr:colOff>1667</xdr:colOff>
      <xdr:row>2</xdr:row>
      <xdr:rowOff>178470</xdr:rowOff>
    </xdr:to>
    <xdr:sp macro="" textlink="">
      <xdr:nvSpPr>
        <xdr:cNvPr id="7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90F6E6-256B-4F19-9951-FFDECD60A131}"/>
            </a:ext>
          </a:extLst>
        </xdr:cNvPr>
        <xdr:cNvSpPr/>
      </xdr:nvSpPr>
      <xdr:spPr>
        <a:xfrm>
          <a:off x="7038967" y="158750"/>
          <a:ext cx="1332000" cy="49597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>
    <xdr:from>
      <xdr:col>53</xdr:col>
      <xdr:colOff>114300</xdr:colOff>
      <xdr:row>296</xdr:row>
      <xdr:rowOff>149225</xdr:rowOff>
    </xdr:from>
    <xdr:to>
      <xdr:col>53</xdr:col>
      <xdr:colOff>2333625</xdr:colOff>
      <xdr:row>298</xdr:row>
      <xdr:rowOff>145214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82362768-AAD8-4C3A-8A94-7F5BF0C14E77}"/>
            </a:ext>
          </a:extLst>
        </xdr:cNvPr>
        <xdr:cNvGrpSpPr/>
      </xdr:nvGrpSpPr>
      <xdr:grpSpPr>
        <a:xfrm>
          <a:off x="37738050" y="72310625"/>
          <a:ext cx="2219325" cy="478589"/>
          <a:chOff x="10465733" y="235697"/>
          <a:chExt cx="2241550" cy="459539"/>
        </a:xfrm>
      </xdr:grpSpPr>
      <xdr:pic>
        <xdr:nvPicPr>
          <xdr:cNvPr id="9" name="Imagem 8" descr="brasao do cemig">
            <a:extLst>
              <a:ext uri="{FF2B5EF4-FFF2-40B4-BE49-F238E27FC236}">
                <a16:creationId xmlns:a16="http://schemas.microsoft.com/office/drawing/2014/main" id="{0024769E-A73E-F504-51B5-24D6B9276EE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B84ED8C8-55BD-AF31-FC10-C393466D15DB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1" name="Conector reto 10">
            <a:extLst>
              <a:ext uri="{FF2B5EF4-FFF2-40B4-BE49-F238E27FC236}">
                <a16:creationId xmlns:a16="http://schemas.microsoft.com/office/drawing/2014/main" id="{134A0A3A-F0E6-43BE-B6BF-C9AA9CA109D4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53</xdr:col>
      <xdr:colOff>2447925</xdr:colOff>
      <xdr:row>296</xdr:row>
      <xdr:rowOff>152400</xdr:rowOff>
    </xdr:from>
    <xdr:to>
      <xdr:col>53</xdr:col>
      <xdr:colOff>3524750</xdr:colOff>
      <xdr:row>298</xdr:row>
      <xdr:rowOff>173800</xdr:rowOff>
    </xdr:to>
    <xdr:sp macro="" textlink="">
      <xdr:nvSpPr>
        <xdr:cNvPr id="12" name="Retângulo: Cantos Arredondado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9E049F-060B-4964-B7DC-09957ED4E2D7}"/>
            </a:ext>
          </a:extLst>
        </xdr:cNvPr>
        <xdr:cNvSpPr/>
      </xdr:nvSpPr>
      <xdr:spPr>
        <a:xfrm>
          <a:off x="40128825" y="71275575"/>
          <a:ext cx="1076825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53</xdr:col>
      <xdr:colOff>3581400</xdr:colOff>
      <xdr:row>296</xdr:row>
      <xdr:rowOff>152400</xdr:rowOff>
    </xdr:from>
    <xdr:to>
      <xdr:col>55</xdr:col>
      <xdr:colOff>97950</xdr:colOff>
      <xdr:row>298</xdr:row>
      <xdr:rowOff>173800</xdr:rowOff>
    </xdr:to>
    <xdr:sp macro="" textlink="">
      <xdr:nvSpPr>
        <xdr:cNvPr id="13" name="Retângulo: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600B18-5762-4D91-81F4-1906428D1455}"/>
            </a:ext>
          </a:extLst>
        </xdr:cNvPr>
        <xdr:cNvSpPr/>
      </xdr:nvSpPr>
      <xdr:spPr>
        <a:xfrm>
          <a:off x="39462075" y="71323200"/>
          <a:ext cx="1260000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RETORNO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92075</xdr:colOff>
      <xdr:row>0</xdr:row>
      <xdr:rowOff>171450</xdr:rowOff>
    </xdr:from>
    <xdr:to>
      <xdr:col>1</xdr:col>
      <xdr:colOff>2311400</xdr:colOff>
      <xdr:row>3</xdr:row>
      <xdr:rowOff>82975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59BF515-8740-4911-A3F5-99ABCF2F9A4E}"/>
            </a:ext>
          </a:extLst>
        </xdr:cNvPr>
        <xdr:cNvGrpSpPr/>
      </xdr:nvGrpSpPr>
      <xdr:grpSpPr>
        <a:xfrm>
          <a:off x="268771" y="171450"/>
          <a:ext cx="2219325" cy="458177"/>
          <a:chOff x="139700" y="82825"/>
          <a:chExt cx="2222500" cy="45374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AB572931-74AF-9B64-093A-077CF4FAA31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39700" y="98307"/>
            <a:ext cx="1203325" cy="414761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0D9EAEF-CE42-6BA6-DC12-99FEBD3A6A34}"/>
              </a:ext>
            </a:extLst>
          </xdr:cNvPr>
          <xdr:cNvSpPr txBox="1"/>
        </xdr:nvSpPr>
        <xdr:spPr>
          <a:xfrm>
            <a:off x="1368425" y="104773"/>
            <a:ext cx="993775" cy="431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4F55B2E6-4C24-79E6-D0D0-0B7AA3EA9B34}"/>
              </a:ext>
            </a:extLst>
          </xdr:cNvPr>
          <xdr:cNvCxnSpPr/>
        </xdr:nvCxnSpPr>
        <xdr:spPr>
          <a:xfrm rot="16200000" flipV="1">
            <a:off x="1178986" y="297237"/>
            <a:ext cx="428825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6</xdr:col>
      <xdr:colOff>977900</xdr:colOff>
      <xdr:row>0</xdr:row>
      <xdr:rowOff>161924</xdr:rowOff>
    </xdr:from>
    <xdr:to>
      <xdr:col>7</xdr:col>
      <xdr:colOff>1035297</xdr:colOff>
      <xdr:row>3</xdr:row>
      <xdr:rowOff>126174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D885E7-05F7-4A0B-AB8C-E8D52115E9F2}"/>
            </a:ext>
          </a:extLst>
        </xdr:cNvPr>
        <xdr:cNvSpPr/>
      </xdr:nvSpPr>
      <xdr:spPr>
        <a:xfrm>
          <a:off x="8267700" y="165099"/>
          <a:ext cx="1187697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92075</xdr:colOff>
      <xdr:row>0</xdr:row>
      <xdr:rowOff>171450</xdr:rowOff>
    </xdr:from>
    <xdr:to>
      <xdr:col>1</xdr:col>
      <xdr:colOff>2314575</xdr:colOff>
      <xdr:row>3</xdr:row>
      <xdr:rowOff>86150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CFFB5E19-8A4E-4430-AA30-28070AE7CDB6}"/>
            </a:ext>
          </a:extLst>
        </xdr:cNvPr>
        <xdr:cNvGrpSpPr/>
      </xdr:nvGrpSpPr>
      <xdr:grpSpPr>
        <a:xfrm>
          <a:off x="269875" y="171450"/>
          <a:ext cx="2222500" cy="467150"/>
          <a:chOff x="139700" y="82825"/>
          <a:chExt cx="2222500" cy="45374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96B4267E-E2B7-357E-96E5-BEF3C5CF04B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39700" y="98307"/>
            <a:ext cx="1203325" cy="414761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C111325A-8AF4-5AEA-2DDD-36294528F171}"/>
              </a:ext>
            </a:extLst>
          </xdr:cNvPr>
          <xdr:cNvSpPr txBox="1"/>
        </xdr:nvSpPr>
        <xdr:spPr>
          <a:xfrm>
            <a:off x="1368425" y="104773"/>
            <a:ext cx="993775" cy="431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8C36E65C-CC83-AAB3-5786-936ACE73C555}"/>
              </a:ext>
            </a:extLst>
          </xdr:cNvPr>
          <xdr:cNvCxnSpPr/>
        </xdr:nvCxnSpPr>
        <xdr:spPr>
          <a:xfrm rot="16200000" flipV="1">
            <a:off x="1178986" y="297237"/>
            <a:ext cx="428825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3</xdr:col>
      <xdr:colOff>733425</xdr:colOff>
      <xdr:row>0</xdr:row>
      <xdr:rowOff>171449</xdr:rowOff>
    </xdr:from>
    <xdr:to>
      <xdr:col>4</xdr:col>
      <xdr:colOff>6597</xdr:colOff>
      <xdr:row>3</xdr:row>
      <xdr:rowOff>135699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70A770-DF53-4E21-B586-9CB45F6A133F}"/>
            </a:ext>
          </a:extLst>
        </xdr:cNvPr>
        <xdr:cNvSpPr/>
      </xdr:nvSpPr>
      <xdr:spPr>
        <a:xfrm>
          <a:off x="6210300" y="171449"/>
          <a:ext cx="1197222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0</xdr:row>
      <xdr:rowOff>161924</xdr:rowOff>
    </xdr:from>
    <xdr:to>
      <xdr:col>1</xdr:col>
      <xdr:colOff>2326715</xdr:colOff>
      <xdr:row>3</xdr:row>
      <xdr:rowOff>78538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B584ADA9-9DB2-44E3-AC68-B7BC8B3F067D}"/>
            </a:ext>
          </a:extLst>
        </xdr:cNvPr>
        <xdr:cNvGrpSpPr/>
      </xdr:nvGrpSpPr>
      <xdr:grpSpPr>
        <a:xfrm>
          <a:off x="280894" y="161924"/>
          <a:ext cx="2225115" cy="476908"/>
          <a:chOff x="10465733" y="235697"/>
          <a:chExt cx="2241550" cy="459539"/>
        </a:xfrm>
      </xdr:grpSpPr>
      <xdr:pic>
        <xdr:nvPicPr>
          <xdr:cNvPr id="10" name="Imagem 9" descr="brasao do cemig">
            <a:extLst>
              <a:ext uri="{FF2B5EF4-FFF2-40B4-BE49-F238E27FC236}">
                <a16:creationId xmlns:a16="http://schemas.microsoft.com/office/drawing/2014/main" id="{608696ED-57A4-42C5-B0E2-8FF1E5C3E84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" name="CaixaDeTexto 10">
            <a:extLst>
              <a:ext uri="{FF2B5EF4-FFF2-40B4-BE49-F238E27FC236}">
                <a16:creationId xmlns:a16="http://schemas.microsoft.com/office/drawing/2014/main" id="{8BAE2C29-8782-5338-7610-6F34FBEB6AFF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2" name="Conector reto 11">
            <a:extLst>
              <a:ext uri="{FF2B5EF4-FFF2-40B4-BE49-F238E27FC236}">
                <a16:creationId xmlns:a16="http://schemas.microsoft.com/office/drawing/2014/main" id="{F8500300-24C6-E6B5-285F-C99B5427DA8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2779059</xdr:colOff>
      <xdr:row>0</xdr:row>
      <xdr:rowOff>161925</xdr:rowOff>
    </xdr:from>
    <xdr:to>
      <xdr:col>2</xdr:col>
      <xdr:colOff>1192109</xdr:colOff>
      <xdr:row>3</xdr:row>
      <xdr:rowOff>123000</xdr:rowOff>
    </xdr:to>
    <xdr:sp macro="" textlink="">
      <xdr:nvSpPr>
        <xdr:cNvPr id="2" name="Retângulo: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3BC8E7-130E-4888-8998-5FFD25DD0647}"/>
            </a:ext>
          </a:extLst>
        </xdr:cNvPr>
        <xdr:cNvSpPr/>
      </xdr:nvSpPr>
      <xdr:spPr>
        <a:xfrm>
          <a:off x="2950509" y="161925"/>
          <a:ext cx="1241975" cy="5325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219074</xdr:colOff>
      <xdr:row>23</xdr:row>
      <xdr:rowOff>54526</xdr:rowOff>
    </xdr:from>
    <xdr:to>
      <xdr:col>2</xdr:col>
      <xdr:colOff>1352550</xdr:colOff>
      <xdr:row>35</xdr:row>
      <xdr:rowOff>149731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7423887-4148-34EA-F728-429AAAD34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0524" y="7198276"/>
          <a:ext cx="3962401" cy="2381205"/>
        </a:xfrm>
        <a:prstGeom prst="rect">
          <a:avLst/>
        </a:prstGeom>
      </xdr:spPr>
    </xdr:pic>
    <xdr:clientData/>
  </xdr:twoCellAnchor>
  <xdr:twoCellAnchor editAs="oneCell">
    <xdr:from>
      <xdr:col>2</xdr:col>
      <xdr:colOff>1504948</xdr:colOff>
      <xdr:row>23</xdr:row>
      <xdr:rowOff>54527</xdr:rowOff>
    </xdr:from>
    <xdr:to>
      <xdr:col>6</xdr:col>
      <xdr:colOff>762000</xdr:colOff>
      <xdr:row>35</xdr:row>
      <xdr:rowOff>168781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8BD7A00-7EE1-00FD-0C7C-B15F9D9BA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05323" y="7198277"/>
          <a:ext cx="3905252" cy="2400254"/>
        </a:xfrm>
        <a:prstGeom prst="rect">
          <a:avLst/>
        </a:prstGeom>
      </xdr:spPr>
    </xdr:pic>
    <xdr:clientData/>
  </xdr:twoCellAnchor>
  <xdr:twoCellAnchor editAs="oneCell">
    <xdr:from>
      <xdr:col>0</xdr:col>
      <xdr:colOff>89645</xdr:colOff>
      <xdr:row>42</xdr:row>
      <xdr:rowOff>120400</xdr:rowOff>
    </xdr:from>
    <xdr:to>
      <xdr:col>4</xdr:col>
      <xdr:colOff>593911</xdr:colOff>
      <xdr:row>56</xdr:row>
      <xdr:rowOff>22412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417E026-6B5A-11E0-C324-C33CB0274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645" y="11382312"/>
          <a:ext cx="6051178" cy="25690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92447</xdr:colOff>
      <xdr:row>0</xdr:row>
      <xdr:rowOff>149972</xdr:rowOff>
    </xdr:from>
    <xdr:to>
      <xdr:col>1</xdr:col>
      <xdr:colOff>2317562</xdr:colOff>
      <xdr:row>2</xdr:row>
      <xdr:rowOff>141722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8B76E5D6-E25E-4D24-BBFE-9F5B2B3D6AE4}"/>
            </a:ext>
          </a:extLst>
        </xdr:cNvPr>
        <xdr:cNvGrpSpPr/>
      </xdr:nvGrpSpPr>
      <xdr:grpSpPr>
        <a:xfrm>
          <a:off x="270247" y="149972"/>
          <a:ext cx="2225115" cy="474350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F03C3B80-CF9C-3A6D-29B1-A7C4B379DBC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6F54979F-65C7-791F-C39E-912769406B0A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4F971C8C-B6C6-A9BC-352C-952A9FEF2378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3371850</xdr:colOff>
      <xdr:row>0</xdr:row>
      <xdr:rowOff>142875</xdr:rowOff>
    </xdr:from>
    <xdr:to>
      <xdr:col>1</xdr:col>
      <xdr:colOff>4439150</xdr:colOff>
      <xdr:row>2</xdr:row>
      <xdr:rowOff>170625</xdr:rowOff>
    </xdr:to>
    <xdr:sp macro="" textlink="">
      <xdr:nvSpPr>
        <xdr:cNvPr id="12" name="Retângulo: Cantos Arredondado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20E72C-EA40-4FCE-804D-EC776799AC21}"/>
            </a:ext>
          </a:extLst>
        </xdr:cNvPr>
        <xdr:cNvSpPr/>
      </xdr:nvSpPr>
      <xdr:spPr>
        <a:xfrm>
          <a:off x="3571875" y="142875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4486725</xdr:colOff>
      <xdr:row>0</xdr:row>
      <xdr:rowOff>142875</xdr:rowOff>
    </xdr:from>
    <xdr:to>
      <xdr:col>2</xdr:col>
      <xdr:colOff>179925</xdr:colOff>
      <xdr:row>2</xdr:row>
      <xdr:rowOff>170625</xdr:rowOff>
    </xdr:to>
    <xdr:sp macro="" textlink="">
      <xdr:nvSpPr>
        <xdr:cNvPr id="16" name="Retângulo: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784C61-1605-4F15-9EDD-7349DCD79702}"/>
            </a:ext>
          </a:extLst>
        </xdr:cNvPr>
        <xdr:cNvSpPr/>
      </xdr:nvSpPr>
      <xdr:spPr>
        <a:xfrm>
          <a:off x="4658175" y="142875"/>
          <a:ext cx="13320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 editAs="oneCell">
    <xdr:from>
      <xdr:col>2</xdr:col>
      <xdr:colOff>601249</xdr:colOff>
      <xdr:row>0</xdr:row>
      <xdr:rowOff>142874</xdr:rowOff>
    </xdr:from>
    <xdr:to>
      <xdr:col>3</xdr:col>
      <xdr:colOff>352538</xdr:colOff>
      <xdr:row>2</xdr:row>
      <xdr:rowOff>170624</xdr:rowOff>
    </xdr:to>
    <xdr:sp macro="" textlink="">
      <xdr:nvSpPr>
        <xdr:cNvPr id="17" name="Retângulo: Cantos Arredondado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174290-AFBC-4CA7-9BD0-B4E86A3002D2}"/>
            </a:ext>
          </a:extLst>
        </xdr:cNvPr>
        <xdr:cNvSpPr/>
      </xdr:nvSpPr>
      <xdr:spPr>
        <a:xfrm>
          <a:off x="6716299" y="142874"/>
          <a:ext cx="1189564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412709</xdr:colOff>
      <xdr:row>0</xdr:row>
      <xdr:rowOff>146049</xdr:rowOff>
    </xdr:from>
    <xdr:to>
      <xdr:col>4</xdr:col>
      <xdr:colOff>173524</xdr:colOff>
      <xdr:row>2</xdr:row>
      <xdr:rowOff>170624</xdr:rowOff>
    </xdr:to>
    <xdr:sp macro="" textlink="">
      <xdr:nvSpPr>
        <xdr:cNvPr id="18" name="Retângulo: Cantos Arredondado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A5F3B5-F4E1-4CEC-BF52-4A78AEA3C550}"/>
            </a:ext>
          </a:extLst>
        </xdr:cNvPr>
        <xdr:cNvSpPr/>
      </xdr:nvSpPr>
      <xdr:spPr>
        <a:xfrm>
          <a:off x="7966034" y="146049"/>
          <a:ext cx="1199090" cy="5008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240046</xdr:colOff>
      <xdr:row>0</xdr:row>
      <xdr:rowOff>142874</xdr:rowOff>
    </xdr:from>
    <xdr:to>
      <xdr:col>5</xdr:col>
      <xdr:colOff>300</xdr:colOff>
      <xdr:row>2</xdr:row>
      <xdr:rowOff>170624</xdr:rowOff>
    </xdr:to>
    <xdr:sp macro="" textlink="">
      <xdr:nvSpPr>
        <xdr:cNvPr id="19" name="Retângulo: Cantos Arredondados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83EDA2-48C5-42EC-BF6B-CE9CE5B54C3F}"/>
            </a:ext>
          </a:extLst>
        </xdr:cNvPr>
        <xdr:cNvSpPr/>
      </xdr:nvSpPr>
      <xdr:spPr>
        <a:xfrm>
          <a:off x="9231646" y="142874"/>
          <a:ext cx="1198529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1</xdr:col>
      <xdr:colOff>104775</xdr:colOff>
      <xdr:row>2009</xdr:row>
      <xdr:rowOff>142875</xdr:rowOff>
    </xdr:from>
    <xdr:to>
      <xdr:col>1</xdr:col>
      <xdr:colOff>2326715</xdr:colOff>
      <xdr:row>2011</xdr:row>
      <xdr:rowOff>134625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2ADB2120-E020-4E00-84FB-3517C018503B}"/>
            </a:ext>
          </a:extLst>
        </xdr:cNvPr>
        <xdr:cNvGrpSpPr/>
      </xdr:nvGrpSpPr>
      <xdr:grpSpPr>
        <a:xfrm>
          <a:off x="282575" y="488153075"/>
          <a:ext cx="2221940" cy="474350"/>
          <a:chOff x="10465733" y="235697"/>
          <a:chExt cx="2241550" cy="459539"/>
        </a:xfrm>
      </xdr:grpSpPr>
      <xdr:pic>
        <xdr:nvPicPr>
          <xdr:cNvPr id="11" name="Imagem 10" descr="brasao do cemig">
            <a:extLst>
              <a:ext uri="{FF2B5EF4-FFF2-40B4-BE49-F238E27FC236}">
                <a16:creationId xmlns:a16="http://schemas.microsoft.com/office/drawing/2014/main" id="{298FCCA4-D9EA-9283-DD19-CF82A031866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7E92A5E7-67AA-966C-2C95-9C254A24FD81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4" name="Conector reto 13">
            <a:extLst>
              <a:ext uri="{FF2B5EF4-FFF2-40B4-BE49-F238E27FC236}">
                <a16:creationId xmlns:a16="http://schemas.microsoft.com/office/drawing/2014/main" id="{EB06F3EC-35B0-DF5B-EA03-ABE14C6877D7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3381003</xdr:colOff>
      <xdr:row>2009</xdr:row>
      <xdr:rowOff>151653</xdr:rowOff>
    </xdr:from>
    <xdr:to>
      <xdr:col>1</xdr:col>
      <xdr:colOff>4454653</xdr:colOff>
      <xdr:row>2011</xdr:row>
      <xdr:rowOff>179403</xdr:rowOff>
    </xdr:to>
    <xdr:sp macro="" textlink="">
      <xdr:nvSpPr>
        <xdr:cNvPr id="20" name="Retângulo: Cantos Arredondados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FD5E02-002E-4670-95A5-1A3A61333742}"/>
            </a:ext>
          </a:extLst>
        </xdr:cNvPr>
        <xdr:cNvSpPr/>
      </xdr:nvSpPr>
      <xdr:spPr>
        <a:xfrm>
          <a:off x="3581028" y="480964128"/>
          <a:ext cx="107365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4492703</xdr:colOff>
      <xdr:row>2009</xdr:row>
      <xdr:rowOff>151653</xdr:rowOff>
    </xdr:from>
    <xdr:to>
      <xdr:col>2</xdr:col>
      <xdr:colOff>185903</xdr:colOff>
      <xdr:row>2011</xdr:row>
      <xdr:rowOff>179403</xdr:rowOff>
    </xdr:to>
    <xdr:sp macro="" textlink="">
      <xdr:nvSpPr>
        <xdr:cNvPr id="21" name="Retângulo: Cantos Arredondados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56DE271-A266-4806-BFEA-2B0ABAC6371C}"/>
            </a:ext>
          </a:extLst>
        </xdr:cNvPr>
        <xdr:cNvSpPr/>
      </xdr:nvSpPr>
      <xdr:spPr>
        <a:xfrm>
          <a:off x="4664153" y="483478728"/>
          <a:ext cx="13320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 editAs="oneCell">
    <xdr:from>
      <xdr:col>2</xdr:col>
      <xdr:colOff>607227</xdr:colOff>
      <xdr:row>2009</xdr:row>
      <xdr:rowOff>151653</xdr:rowOff>
    </xdr:from>
    <xdr:to>
      <xdr:col>3</xdr:col>
      <xdr:colOff>364866</xdr:colOff>
      <xdr:row>2011</xdr:row>
      <xdr:rowOff>179403</xdr:rowOff>
    </xdr:to>
    <xdr:sp macro="" textlink="">
      <xdr:nvSpPr>
        <xdr:cNvPr id="22" name="Retângulo: Cantos Arredondados 2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87F1FA-9889-481B-B041-A44D766801E2}"/>
            </a:ext>
          </a:extLst>
        </xdr:cNvPr>
        <xdr:cNvSpPr/>
      </xdr:nvSpPr>
      <xdr:spPr>
        <a:xfrm>
          <a:off x="6722277" y="480964128"/>
          <a:ext cx="1195914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428212</xdr:colOff>
      <xdr:row>2009</xdr:row>
      <xdr:rowOff>151653</xdr:rowOff>
    </xdr:from>
    <xdr:to>
      <xdr:col>4</xdr:col>
      <xdr:colOff>182677</xdr:colOff>
      <xdr:row>2011</xdr:row>
      <xdr:rowOff>182578</xdr:rowOff>
    </xdr:to>
    <xdr:sp macro="" textlink="">
      <xdr:nvSpPr>
        <xdr:cNvPr id="23" name="Retângulo: Cantos Arredondados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F2676A-025E-4D67-945A-0C15FBB7D0F1}"/>
            </a:ext>
          </a:extLst>
        </xdr:cNvPr>
        <xdr:cNvSpPr/>
      </xdr:nvSpPr>
      <xdr:spPr>
        <a:xfrm>
          <a:off x="7981537" y="480964128"/>
          <a:ext cx="1192740" cy="50717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246024</xdr:colOff>
      <xdr:row>2009</xdr:row>
      <xdr:rowOff>151653</xdr:rowOff>
    </xdr:from>
    <xdr:to>
      <xdr:col>5</xdr:col>
      <xdr:colOff>12628</xdr:colOff>
      <xdr:row>2011</xdr:row>
      <xdr:rowOff>179403</xdr:rowOff>
    </xdr:to>
    <xdr:sp macro="" textlink="">
      <xdr:nvSpPr>
        <xdr:cNvPr id="24" name="Retângulo: Cantos Arredondados 2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3FAFA9-1423-47AA-998B-9A5C4BA0EDF5}"/>
            </a:ext>
          </a:extLst>
        </xdr:cNvPr>
        <xdr:cNvSpPr/>
      </xdr:nvSpPr>
      <xdr:spPr>
        <a:xfrm>
          <a:off x="9237624" y="480964128"/>
          <a:ext cx="1204879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1</xdr:col>
      <xdr:colOff>104775</xdr:colOff>
      <xdr:row>3011</xdr:row>
      <xdr:rowOff>152400</xdr:rowOff>
    </xdr:from>
    <xdr:to>
      <xdr:col>1</xdr:col>
      <xdr:colOff>2326715</xdr:colOff>
      <xdr:row>3013</xdr:row>
      <xdr:rowOff>144150</xdr:rowOff>
    </xdr:to>
    <xdr:grpSp>
      <xdr:nvGrpSpPr>
        <xdr:cNvPr id="25" name="Agrupar 24">
          <a:extLst>
            <a:ext uri="{FF2B5EF4-FFF2-40B4-BE49-F238E27FC236}">
              <a16:creationId xmlns:a16="http://schemas.microsoft.com/office/drawing/2014/main" id="{9F9D82D1-F473-4368-B063-5F8245720778}"/>
            </a:ext>
          </a:extLst>
        </xdr:cNvPr>
        <xdr:cNvGrpSpPr/>
      </xdr:nvGrpSpPr>
      <xdr:grpSpPr>
        <a:xfrm>
          <a:off x="282575" y="731189800"/>
          <a:ext cx="2221940" cy="474350"/>
          <a:chOff x="10465733" y="235697"/>
          <a:chExt cx="2241550" cy="459539"/>
        </a:xfrm>
      </xdr:grpSpPr>
      <xdr:pic>
        <xdr:nvPicPr>
          <xdr:cNvPr id="26" name="Imagem 25" descr="brasao do cemig">
            <a:extLst>
              <a:ext uri="{FF2B5EF4-FFF2-40B4-BE49-F238E27FC236}">
                <a16:creationId xmlns:a16="http://schemas.microsoft.com/office/drawing/2014/main" id="{D531D892-CA64-B978-FCD3-4B86A8F5B36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7" name="CaixaDeTexto 26">
            <a:extLst>
              <a:ext uri="{FF2B5EF4-FFF2-40B4-BE49-F238E27FC236}">
                <a16:creationId xmlns:a16="http://schemas.microsoft.com/office/drawing/2014/main" id="{EC3FE508-B76F-CDF3-5845-5DB14BB935F2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28" name="Conector reto 27">
            <a:extLst>
              <a:ext uri="{FF2B5EF4-FFF2-40B4-BE49-F238E27FC236}">
                <a16:creationId xmlns:a16="http://schemas.microsoft.com/office/drawing/2014/main" id="{F1998AFA-68B7-58C2-E56C-45F94977010D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3381003</xdr:colOff>
      <xdr:row>3011</xdr:row>
      <xdr:rowOff>164353</xdr:rowOff>
    </xdr:from>
    <xdr:to>
      <xdr:col>1</xdr:col>
      <xdr:colOff>4454653</xdr:colOff>
      <xdr:row>3013</xdr:row>
      <xdr:rowOff>192104</xdr:rowOff>
    </xdr:to>
    <xdr:sp macro="" textlink="">
      <xdr:nvSpPr>
        <xdr:cNvPr id="29" name="Retângulo: Cantos Arredondados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884C75-4965-4F09-B301-1425761DF2C9}"/>
            </a:ext>
          </a:extLst>
        </xdr:cNvPr>
        <xdr:cNvSpPr/>
      </xdr:nvSpPr>
      <xdr:spPr>
        <a:xfrm>
          <a:off x="3581028" y="720292453"/>
          <a:ext cx="107365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4492703</xdr:colOff>
      <xdr:row>3011</xdr:row>
      <xdr:rowOff>161178</xdr:rowOff>
    </xdr:from>
    <xdr:to>
      <xdr:col>2</xdr:col>
      <xdr:colOff>185903</xdr:colOff>
      <xdr:row>3013</xdr:row>
      <xdr:rowOff>192104</xdr:rowOff>
    </xdr:to>
    <xdr:sp macro="" textlink="">
      <xdr:nvSpPr>
        <xdr:cNvPr id="30" name="Retângulo: Cantos Arredondados 2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DE15697-0D09-4E01-A646-612BFA570160}"/>
            </a:ext>
          </a:extLst>
        </xdr:cNvPr>
        <xdr:cNvSpPr/>
      </xdr:nvSpPr>
      <xdr:spPr>
        <a:xfrm>
          <a:off x="4664153" y="723337278"/>
          <a:ext cx="1332000" cy="507176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 editAs="oneCell">
    <xdr:from>
      <xdr:col>2</xdr:col>
      <xdr:colOff>607227</xdr:colOff>
      <xdr:row>3011</xdr:row>
      <xdr:rowOff>161177</xdr:rowOff>
    </xdr:from>
    <xdr:to>
      <xdr:col>3</xdr:col>
      <xdr:colOff>364866</xdr:colOff>
      <xdr:row>3013</xdr:row>
      <xdr:rowOff>192103</xdr:rowOff>
    </xdr:to>
    <xdr:sp macro="" textlink="">
      <xdr:nvSpPr>
        <xdr:cNvPr id="31" name="Retângulo: Cantos Arredondados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3B0EF5-DB6B-436C-BB7A-0D01E9BDD533}"/>
            </a:ext>
          </a:extLst>
        </xdr:cNvPr>
        <xdr:cNvSpPr/>
      </xdr:nvSpPr>
      <xdr:spPr>
        <a:xfrm>
          <a:off x="6722277" y="720289277"/>
          <a:ext cx="1195914" cy="50717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431388</xdr:colOff>
      <xdr:row>3011</xdr:row>
      <xdr:rowOff>161178</xdr:rowOff>
    </xdr:from>
    <xdr:to>
      <xdr:col>4</xdr:col>
      <xdr:colOff>179503</xdr:colOff>
      <xdr:row>3013</xdr:row>
      <xdr:rowOff>188929</xdr:rowOff>
    </xdr:to>
    <xdr:sp macro="" textlink="">
      <xdr:nvSpPr>
        <xdr:cNvPr id="32" name="Retângulo: Cantos Arredondados 3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0C6E95-D379-40C3-95D1-F4EA922463B2}"/>
            </a:ext>
          </a:extLst>
        </xdr:cNvPr>
        <xdr:cNvSpPr/>
      </xdr:nvSpPr>
      <xdr:spPr>
        <a:xfrm>
          <a:off x="7984713" y="720289278"/>
          <a:ext cx="118639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246024</xdr:colOff>
      <xdr:row>3011</xdr:row>
      <xdr:rowOff>164352</xdr:rowOff>
    </xdr:from>
    <xdr:to>
      <xdr:col>5</xdr:col>
      <xdr:colOff>9453</xdr:colOff>
      <xdr:row>3013</xdr:row>
      <xdr:rowOff>192103</xdr:rowOff>
    </xdr:to>
    <xdr:sp macro="" textlink="">
      <xdr:nvSpPr>
        <xdr:cNvPr id="33" name="Retângulo: Cantos Arredondados 3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005E624-9444-4532-AB8A-A4DE74FD592C}"/>
            </a:ext>
          </a:extLst>
        </xdr:cNvPr>
        <xdr:cNvSpPr/>
      </xdr:nvSpPr>
      <xdr:spPr>
        <a:xfrm>
          <a:off x="9237624" y="720292452"/>
          <a:ext cx="1201704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73</xdr:col>
      <xdr:colOff>114300</xdr:colOff>
      <xdr:row>248</xdr:row>
      <xdr:rowOff>142875</xdr:rowOff>
    </xdr:from>
    <xdr:to>
      <xdr:col>73</xdr:col>
      <xdr:colOff>2333065</xdr:colOff>
      <xdr:row>250</xdr:row>
      <xdr:rowOff>131450</xdr:rowOff>
    </xdr:to>
    <xdr:grpSp>
      <xdr:nvGrpSpPr>
        <xdr:cNvPr id="34" name="Agrupar 33">
          <a:extLst>
            <a:ext uri="{FF2B5EF4-FFF2-40B4-BE49-F238E27FC236}">
              <a16:creationId xmlns:a16="http://schemas.microsoft.com/office/drawing/2014/main" id="{0BBF248B-7BBC-45F9-9A77-598DDEBEDA48}"/>
            </a:ext>
          </a:extLst>
        </xdr:cNvPr>
        <xdr:cNvGrpSpPr/>
      </xdr:nvGrpSpPr>
      <xdr:grpSpPr>
        <a:xfrm>
          <a:off x="55460900" y="59820175"/>
          <a:ext cx="2218765" cy="471175"/>
          <a:chOff x="10465733" y="235697"/>
          <a:chExt cx="2241550" cy="459539"/>
        </a:xfrm>
      </xdr:grpSpPr>
      <xdr:pic>
        <xdr:nvPicPr>
          <xdr:cNvPr id="35" name="Imagem 34" descr="brasao do cemig">
            <a:extLst>
              <a:ext uri="{FF2B5EF4-FFF2-40B4-BE49-F238E27FC236}">
                <a16:creationId xmlns:a16="http://schemas.microsoft.com/office/drawing/2014/main" id="{1F2ED868-240D-6354-A26D-3DD70605F8E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6" name="CaixaDeTexto 35">
            <a:extLst>
              <a:ext uri="{FF2B5EF4-FFF2-40B4-BE49-F238E27FC236}">
                <a16:creationId xmlns:a16="http://schemas.microsoft.com/office/drawing/2014/main" id="{F6BE40FF-41CD-5CB2-B39A-5DF3C5E07F46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37" name="Conector reto 36">
            <a:extLst>
              <a:ext uri="{FF2B5EF4-FFF2-40B4-BE49-F238E27FC236}">
                <a16:creationId xmlns:a16="http://schemas.microsoft.com/office/drawing/2014/main" id="{E145C7CD-07D8-1FFF-716F-322A72EEA849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73</xdr:col>
      <xdr:colOff>3393703</xdr:colOff>
      <xdr:row>248</xdr:row>
      <xdr:rowOff>154827</xdr:rowOff>
    </xdr:from>
    <xdr:to>
      <xdr:col>73</xdr:col>
      <xdr:colOff>4467353</xdr:colOff>
      <xdr:row>250</xdr:row>
      <xdr:rowOff>179402</xdr:rowOff>
    </xdr:to>
    <xdr:sp macro="" textlink="">
      <xdr:nvSpPr>
        <xdr:cNvPr id="38" name="Retângulo: Cantos Arredondados 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753009-58AE-41E8-A9AE-9B44C1786D0C}"/>
            </a:ext>
          </a:extLst>
        </xdr:cNvPr>
        <xdr:cNvSpPr/>
      </xdr:nvSpPr>
      <xdr:spPr>
        <a:xfrm>
          <a:off x="60067453" y="60381402"/>
          <a:ext cx="1073650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74</xdr:col>
      <xdr:colOff>791190</xdr:colOff>
      <xdr:row>248</xdr:row>
      <xdr:rowOff>151651</xdr:rowOff>
    </xdr:from>
    <xdr:to>
      <xdr:col>75</xdr:col>
      <xdr:colOff>540915</xdr:colOff>
      <xdr:row>250</xdr:row>
      <xdr:rowOff>179401</xdr:rowOff>
    </xdr:to>
    <xdr:sp macro="" textlink="">
      <xdr:nvSpPr>
        <xdr:cNvPr id="40" name="Retângulo: Cantos Arredondados 3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28B2F6-4E6B-41C2-BF14-C6BB57865922}"/>
            </a:ext>
          </a:extLst>
        </xdr:cNvPr>
        <xdr:cNvSpPr/>
      </xdr:nvSpPr>
      <xdr:spPr>
        <a:xfrm>
          <a:off x="62046465" y="60749701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75</xdr:col>
      <xdr:colOff>596208</xdr:colOff>
      <xdr:row>248</xdr:row>
      <xdr:rowOff>151651</xdr:rowOff>
    </xdr:from>
    <xdr:to>
      <xdr:col>76</xdr:col>
      <xdr:colOff>345933</xdr:colOff>
      <xdr:row>250</xdr:row>
      <xdr:rowOff>182576</xdr:rowOff>
    </xdr:to>
    <xdr:sp macro="" textlink="">
      <xdr:nvSpPr>
        <xdr:cNvPr id="41" name="Retângulo: Cantos Arredondados 4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777B833-06F6-48C2-8341-4D5D3BE97AA8}"/>
            </a:ext>
          </a:extLst>
        </xdr:cNvPr>
        <xdr:cNvSpPr/>
      </xdr:nvSpPr>
      <xdr:spPr>
        <a:xfrm>
          <a:off x="63289758" y="60749701"/>
          <a:ext cx="1188000" cy="50717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76</xdr:col>
      <xdr:colOff>398050</xdr:colOff>
      <xdr:row>248</xdr:row>
      <xdr:rowOff>151652</xdr:rowOff>
    </xdr:from>
    <xdr:to>
      <xdr:col>77</xdr:col>
      <xdr:colOff>147775</xdr:colOff>
      <xdr:row>250</xdr:row>
      <xdr:rowOff>179402</xdr:rowOff>
    </xdr:to>
    <xdr:sp macro="" textlink="">
      <xdr:nvSpPr>
        <xdr:cNvPr id="42" name="Retângulo: Cantos Arredondados 4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AE3A733-9441-4B80-ABCB-A80D876B2C43}"/>
            </a:ext>
          </a:extLst>
        </xdr:cNvPr>
        <xdr:cNvSpPr/>
      </xdr:nvSpPr>
      <xdr:spPr>
        <a:xfrm>
          <a:off x="64529875" y="60749702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73</xdr:col>
      <xdr:colOff>0</xdr:colOff>
      <xdr:row>322</xdr:row>
      <xdr:rowOff>130175</xdr:rowOff>
    </xdr:from>
    <xdr:to>
      <xdr:col>73</xdr:col>
      <xdr:colOff>1073650</xdr:colOff>
      <xdr:row>324</xdr:row>
      <xdr:rowOff>161101</xdr:rowOff>
    </xdr:to>
    <xdr:sp macro="" textlink="">
      <xdr:nvSpPr>
        <xdr:cNvPr id="43" name="Retângulo: Cantos Arredondados 4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5220A9-2A10-46C6-A48D-D79CC5A53968}"/>
            </a:ext>
          </a:extLst>
        </xdr:cNvPr>
        <xdr:cNvSpPr/>
      </xdr:nvSpPr>
      <xdr:spPr>
        <a:xfrm>
          <a:off x="56673750" y="79016225"/>
          <a:ext cx="1073650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73</xdr:col>
      <xdr:colOff>1991899</xdr:colOff>
      <xdr:row>322</xdr:row>
      <xdr:rowOff>130175</xdr:rowOff>
    </xdr:from>
    <xdr:to>
      <xdr:col>73</xdr:col>
      <xdr:colOff>3181463</xdr:colOff>
      <xdr:row>324</xdr:row>
      <xdr:rowOff>161101</xdr:rowOff>
    </xdr:to>
    <xdr:sp macro="" textlink="">
      <xdr:nvSpPr>
        <xdr:cNvPr id="44" name="Retângulo: Cantos Arredondados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74FB96-D853-4BD0-AB99-9C43B4146BF5}"/>
            </a:ext>
          </a:extLst>
        </xdr:cNvPr>
        <xdr:cNvSpPr/>
      </xdr:nvSpPr>
      <xdr:spPr>
        <a:xfrm>
          <a:off x="58665649" y="79016225"/>
          <a:ext cx="1189564" cy="50717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73</xdr:col>
      <xdr:colOff>3246397</xdr:colOff>
      <xdr:row>322</xdr:row>
      <xdr:rowOff>130175</xdr:rowOff>
    </xdr:from>
    <xdr:to>
      <xdr:col>73</xdr:col>
      <xdr:colOff>4448662</xdr:colOff>
      <xdr:row>324</xdr:row>
      <xdr:rowOff>161101</xdr:rowOff>
    </xdr:to>
    <xdr:sp macro="" textlink="">
      <xdr:nvSpPr>
        <xdr:cNvPr id="45" name="Retângulo: Cantos Arredondados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73AFD1-14A5-497F-B32A-1327A9A206F0}"/>
            </a:ext>
          </a:extLst>
        </xdr:cNvPr>
        <xdr:cNvSpPr/>
      </xdr:nvSpPr>
      <xdr:spPr>
        <a:xfrm>
          <a:off x="59920147" y="79016225"/>
          <a:ext cx="1202265" cy="50717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73</xdr:col>
      <xdr:colOff>4507246</xdr:colOff>
      <xdr:row>322</xdr:row>
      <xdr:rowOff>130175</xdr:rowOff>
    </xdr:from>
    <xdr:to>
      <xdr:col>73</xdr:col>
      <xdr:colOff>5635925</xdr:colOff>
      <xdr:row>324</xdr:row>
      <xdr:rowOff>161101</xdr:rowOff>
    </xdr:to>
    <xdr:sp macro="" textlink="">
      <xdr:nvSpPr>
        <xdr:cNvPr id="46" name="Retângulo: Cantos Arredondados 4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2FC8F-54A9-4D4E-A71E-CFE689D3A401}"/>
            </a:ext>
          </a:extLst>
        </xdr:cNvPr>
        <xdr:cNvSpPr/>
      </xdr:nvSpPr>
      <xdr:spPr>
        <a:xfrm>
          <a:off x="61180996" y="79016225"/>
          <a:ext cx="1198529" cy="50717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73</xdr:col>
      <xdr:colOff>0</xdr:colOff>
      <xdr:row>367</xdr:row>
      <xdr:rowOff>149225</xdr:rowOff>
    </xdr:from>
    <xdr:to>
      <xdr:col>73</xdr:col>
      <xdr:colOff>1076825</xdr:colOff>
      <xdr:row>369</xdr:row>
      <xdr:rowOff>180150</xdr:rowOff>
    </xdr:to>
    <xdr:sp macro="" textlink="">
      <xdr:nvSpPr>
        <xdr:cNvPr id="47" name="Retângulo: Cantos Arredondados 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0684C4-3CA5-4BD5-A810-BC8F640E7846}"/>
            </a:ext>
          </a:extLst>
        </xdr:cNvPr>
        <xdr:cNvSpPr/>
      </xdr:nvSpPr>
      <xdr:spPr>
        <a:xfrm>
          <a:off x="49825275" y="90198575"/>
          <a:ext cx="1076825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73</xdr:col>
      <xdr:colOff>1988724</xdr:colOff>
      <xdr:row>367</xdr:row>
      <xdr:rowOff>149225</xdr:rowOff>
    </xdr:from>
    <xdr:to>
      <xdr:col>73</xdr:col>
      <xdr:colOff>3179899</xdr:colOff>
      <xdr:row>369</xdr:row>
      <xdr:rowOff>183325</xdr:rowOff>
    </xdr:to>
    <xdr:sp macro="" textlink="">
      <xdr:nvSpPr>
        <xdr:cNvPr id="48" name="Retângulo: Cantos Arredondados 4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3E14B0-054E-49F4-8DE6-578CD2E3EF59}"/>
            </a:ext>
          </a:extLst>
        </xdr:cNvPr>
        <xdr:cNvSpPr/>
      </xdr:nvSpPr>
      <xdr:spPr>
        <a:xfrm>
          <a:off x="58652949" y="91151075"/>
          <a:ext cx="1191175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73</xdr:col>
      <xdr:colOff>3251160</xdr:colOff>
      <xdr:row>367</xdr:row>
      <xdr:rowOff>149225</xdr:rowOff>
    </xdr:from>
    <xdr:to>
      <xdr:col>73</xdr:col>
      <xdr:colOff>4426460</xdr:colOff>
      <xdr:row>369</xdr:row>
      <xdr:rowOff>180150</xdr:rowOff>
    </xdr:to>
    <xdr:sp macro="" textlink="">
      <xdr:nvSpPr>
        <xdr:cNvPr id="49" name="Retângulo: Cantos Arredondados 4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FA7065-101F-4FB4-96D5-CF39A80548B3}"/>
            </a:ext>
          </a:extLst>
        </xdr:cNvPr>
        <xdr:cNvSpPr/>
      </xdr:nvSpPr>
      <xdr:spPr>
        <a:xfrm>
          <a:off x="59915385" y="91151075"/>
          <a:ext cx="1181650" cy="50717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73</xdr:col>
      <xdr:colOff>4507246</xdr:colOff>
      <xdr:row>367</xdr:row>
      <xdr:rowOff>149225</xdr:rowOff>
    </xdr:from>
    <xdr:to>
      <xdr:col>74</xdr:col>
      <xdr:colOff>2471</xdr:colOff>
      <xdr:row>369</xdr:row>
      <xdr:rowOff>183325</xdr:rowOff>
    </xdr:to>
    <xdr:sp macro="" textlink="">
      <xdr:nvSpPr>
        <xdr:cNvPr id="50" name="Retângulo: Cantos Arredondados 4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5BDAB3-C43C-41D9-BEBE-90EBFB5C5E07}"/>
            </a:ext>
          </a:extLst>
        </xdr:cNvPr>
        <xdr:cNvSpPr/>
      </xdr:nvSpPr>
      <xdr:spPr>
        <a:xfrm>
          <a:off x="61171471" y="91151075"/>
          <a:ext cx="1181650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86658</xdr:colOff>
      <xdr:row>1</xdr:row>
      <xdr:rowOff>114860</xdr:rowOff>
    </xdr:from>
    <xdr:to>
      <xdr:col>1</xdr:col>
      <xdr:colOff>2302808</xdr:colOff>
      <xdr:row>3</xdr:row>
      <xdr:rowOff>123549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1CDDB83F-5A50-48DB-9D2E-D9B184A05FF6}"/>
            </a:ext>
          </a:extLst>
        </xdr:cNvPr>
        <xdr:cNvGrpSpPr/>
      </xdr:nvGrpSpPr>
      <xdr:grpSpPr>
        <a:xfrm>
          <a:off x="264458" y="114860"/>
          <a:ext cx="2216150" cy="465889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7E068DBE-74FF-1A8D-0CDE-E438E2F5D74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3DD0A6D2-7065-8EB2-1541-A707B7D09D4C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662747EF-1354-8CBD-1E7B-99BC4977BD6A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70</xdr:col>
      <xdr:colOff>95250</xdr:colOff>
      <xdr:row>220</xdr:row>
      <xdr:rowOff>158750</xdr:rowOff>
    </xdr:from>
    <xdr:to>
      <xdr:col>70</xdr:col>
      <xdr:colOff>2311400</xdr:colOff>
      <xdr:row>222</xdr:row>
      <xdr:rowOff>142039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12F56C65-8D03-4280-B741-64E00EAB2006}"/>
            </a:ext>
          </a:extLst>
        </xdr:cNvPr>
        <xdr:cNvGrpSpPr/>
      </xdr:nvGrpSpPr>
      <xdr:grpSpPr>
        <a:xfrm>
          <a:off x="52584350" y="54540150"/>
          <a:ext cx="2216150" cy="465889"/>
          <a:chOff x="10465733" y="235697"/>
          <a:chExt cx="2241550" cy="459539"/>
        </a:xfrm>
      </xdr:grpSpPr>
      <xdr:pic>
        <xdr:nvPicPr>
          <xdr:cNvPr id="7" name="Imagem 6" descr="brasao do cemig">
            <a:extLst>
              <a:ext uri="{FF2B5EF4-FFF2-40B4-BE49-F238E27FC236}">
                <a16:creationId xmlns:a16="http://schemas.microsoft.com/office/drawing/2014/main" id="{9D42BE10-B899-90D1-7AB1-75FA7DDFB20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AB6824D5-C64D-ED73-E573-00A77C3F665D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9" name="Conector reto 8">
            <a:extLst>
              <a:ext uri="{FF2B5EF4-FFF2-40B4-BE49-F238E27FC236}">
                <a16:creationId xmlns:a16="http://schemas.microsoft.com/office/drawing/2014/main" id="{9568AC21-EB94-7E8A-F5E2-153D52535C2C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111125</xdr:colOff>
      <xdr:row>902</xdr:row>
      <xdr:rowOff>158750</xdr:rowOff>
    </xdr:from>
    <xdr:to>
      <xdr:col>1</xdr:col>
      <xdr:colOff>2333625</xdr:colOff>
      <xdr:row>904</xdr:row>
      <xdr:rowOff>142039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29343D22-B649-4F01-AF11-5461840CBABC}"/>
            </a:ext>
          </a:extLst>
        </xdr:cNvPr>
        <xdr:cNvGrpSpPr/>
      </xdr:nvGrpSpPr>
      <xdr:grpSpPr>
        <a:xfrm>
          <a:off x="288925" y="221291150"/>
          <a:ext cx="2222500" cy="465889"/>
          <a:chOff x="10465733" y="235697"/>
          <a:chExt cx="2241550" cy="459539"/>
        </a:xfrm>
      </xdr:grpSpPr>
      <xdr:pic>
        <xdr:nvPicPr>
          <xdr:cNvPr id="11" name="Imagem 10" descr="brasao do cemig">
            <a:extLst>
              <a:ext uri="{FF2B5EF4-FFF2-40B4-BE49-F238E27FC236}">
                <a16:creationId xmlns:a16="http://schemas.microsoft.com/office/drawing/2014/main" id="{5CF59801-2F97-D05E-DB64-478897064B0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B80148FD-D5E1-8F11-0D34-915720B9CE0E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3" name="Conector reto 12">
            <a:extLst>
              <a:ext uri="{FF2B5EF4-FFF2-40B4-BE49-F238E27FC236}">
                <a16:creationId xmlns:a16="http://schemas.microsoft.com/office/drawing/2014/main" id="{7D3FEAC7-1669-2C83-456C-8ED949456667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101600</xdr:colOff>
      <xdr:row>1896</xdr:row>
      <xdr:rowOff>161925</xdr:rowOff>
    </xdr:from>
    <xdr:to>
      <xdr:col>1</xdr:col>
      <xdr:colOff>2324100</xdr:colOff>
      <xdr:row>1898</xdr:row>
      <xdr:rowOff>145214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AAD6877F-07FD-4CF0-9EF7-9B83E99C715E}"/>
            </a:ext>
          </a:extLst>
        </xdr:cNvPr>
        <xdr:cNvGrpSpPr/>
      </xdr:nvGrpSpPr>
      <xdr:grpSpPr>
        <a:xfrm>
          <a:off x="279400" y="462314925"/>
          <a:ext cx="2222500" cy="465889"/>
          <a:chOff x="10465733" y="235697"/>
          <a:chExt cx="2241550" cy="459539"/>
        </a:xfrm>
      </xdr:grpSpPr>
      <xdr:pic>
        <xdr:nvPicPr>
          <xdr:cNvPr id="15" name="Imagem 14" descr="brasao do cemig">
            <a:extLst>
              <a:ext uri="{FF2B5EF4-FFF2-40B4-BE49-F238E27FC236}">
                <a16:creationId xmlns:a16="http://schemas.microsoft.com/office/drawing/2014/main" id="{9A1975B2-83EE-E3F3-14CD-8546ED8B76A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50800" dir="5400000" algn="ctr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3B7B4F1F-E18E-06D6-481E-FFD83998B015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7" name="Conector reto 16">
            <a:extLst>
              <a:ext uri="{FF2B5EF4-FFF2-40B4-BE49-F238E27FC236}">
                <a16:creationId xmlns:a16="http://schemas.microsoft.com/office/drawing/2014/main" id="{678F64FC-D0D7-D1FC-1260-C219A90E1A5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2749550</xdr:colOff>
      <xdr:row>1</xdr:row>
      <xdr:rowOff>123824</xdr:rowOff>
    </xdr:from>
    <xdr:to>
      <xdr:col>1</xdr:col>
      <xdr:colOff>3816850</xdr:colOff>
      <xdr:row>3</xdr:row>
      <xdr:rowOff>179588</xdr:rowOff>
    </xdr:to>
    <xdr:sp macro="" textlink="">
      <xdr:nvSpPr>
        <xdr:cNvPr id="18" name="Retângulo: Cantos Arredondados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F6171F-4F7C-48EF-8180-BDC122D681FA}"/>
            </a:ext>
          </a:extLst>
        </xdr:cNvPr>
        <xdr:cNvSpPr/>
      </xdr:nvSpPr>
      <xdr:spPr>
        <a:xfrm>
          <a:off x="2973668" y="191059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3864422</xdr:colOff>
      <xdr:row>1</xdr:row>
      <xdr:rowOff>126998</xdr:rowOff>
    </xdr:from>
    <xdr:to>
      <xdr:col>2</xdr:col>
      <xdr:colOff>938747</xdr:colOff>
      <xdr:row>3</xdr:row>
      <xdr:rowOff>173798</xdr:rowOff>
    </xdr:to>
    <xdr:sp macro="" textlink="">
      <xdr:nvSpPr>
        <xdr:cNvPr id="19" name="Retângulo: Cantos Arredondados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B8B483-DBAC-4CC9-BC5C-EB200DA57257}"/>
            </a:ext>
          </a:extLst>
        </xdr:cNvPr>
        <xdr:cNvSpPr/>
      </xdr:nvSpPr>
      <xdr:spPr>
        <a:xfrm>
          <a:off x="4035872" y="126998"/>
          <a:ext cx="13320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 editAs="oneCell">
    <xdr:from>
      <xdr:col>2</xdr:col>
      <xdr:colOff>1082728</xdr:colOff>
      <xdr:row>1</xdr:row>
      <xdr:rowOff>123825</xdr:rowOff>
    </xdr:from>
    <xdr:to>
      <xdr:col>3</xdr:col>
      <xdr:colOff>837192</xdr:colOff>
      <xdr:row>3</xdr:row>
      <xdr:rowOff>179589</xdr:rowOff>
    </xdr:to>
    <xdr:sp macro="" textlink="">
      <xdr:nvSpPr>
        <xdr:cNvPr id="20" name="Retângulo: Cantos Arredondados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859906-8479-46F3-8853-45E25D574822}"/>
            </a:ext>
          </a:extLst>
        </xdr:cNvPr>
        <xdr:cNvSpPr/>
      </xdr:nvSpPr>
      <xdr:spPr>
        <a:xfrm>
          <a:off x="5777993" y="191060"/>
          <a:ext cx="1198342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902126</xdr:colOff>
      <xdr:row>1</xdr:row>
      <xdr:rowOff>123825</xdr:rowOff>
    </xdr:from>
    <xdr:to>
      <xdr:col>4</xdr:col>
      <xdr:colOff>654163</xdr:colOff>
      <xdr:row>3</xdr:row>
      <xdr:rowOff>179589</xdr:rowOff>
    </xdr:to>
    <xdr:sp macro="" textlink="">
      <xdr:nvSpPr>
        <xdr:cNvPr id="21" name="Retângulo: Cantos Arredondados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EFEAA6-5082-43E1-BDE7-4E0168548EF9}"/>
            </a:ext>
          </a:extLst>
        </xdr:cNvPr>
        <xdr:cNvSpPr/>
      </xdr:nvSpPr>
      <xdr:spPr>
        <a:xfrm>
          <a:off x="7031744" y="191060"/>
          <a:ext cx="1195915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722272</xdr:colOff>
      <xdr:row>1</xdr:row>
      <xdr:rowOff>123825</xdr:rowOff>
    </xdr:from>
    <xdr:to>
      <xdr:col>5</xdr:col>
      <xdr:colOff>466465</xdr:colOff>
      <xdr:row>3</xdr:row>
      <xdr:rowOff>179589</xdr:rowOff>
    </xdr:to>
    <xdr:sp macro="" textlink="">
      <xdr:nvSpPr>
        <xdr:cNvPr id="22" name="Retângulo: Cantos Arredondados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EB5D4A-CF21-49B0-9E35-160D54BD3A54}"/>
            </a:ext>
          </a:extLst>
        </xdr:cNvPr>
        <xdr:cNvSpPr/>
      </xdr:nvSpPr>
      <xdr:spPr>
        <a:xfrm>
          <a:off x="8286243" y="191060"/>
          <a:ext cx="1200957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1</xdr:col>
      <xdr:colOff>2427967</xdr:colOff>
      <xdr:row>1896</xdr:row>
      <xdr:rowOff>141114</xdr:rowOff>
    </xdr:from>
    <xdr:to>
      <xdr:col>1</xdr:col>
      <xdr:colOff>3495267</xdr:colOff>
      <xdr:row>1898</xdr:row>
      <xdr:rowOff>174466</xdr:rowOff>
    </xdr:to>
    <xdr:sp macro="" textlink="">
      <xdr:nvSpPr>
        <xdr:cNvPr id="50" name="Retângulo: Cantos Arredondados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30B2B-2D7B-4DD7-8243-9D939BC56A6D}"/>
            </a:ext>
          </a:extLst>
        </xdr:cNvPr>
        <xdr:cNvSpPr/>
      </xdr:nvSpPr>
      <xdr:spPr>
        <a:xfrm>
          <a:off x="2652085" y="452343290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3546012</xdr:colOff>
      <xdr:row>1896</xdr:row>
      <xdr:rowOff>141113</xdr:rowOff>
    </xdr:from>
    <xdr:to>
      <xdr:col>2</xdr:col>
      <xdr:colOff>620337</xdr:colOff>
      <xdr:row>1898</xdr:row>
      <xdr:rowOff>168863</xdr:rowOff>
    </xdr:to>
    <xdr:sp macro="" textlink="">
      <xdr:nvSpPr>
        <xdr:cNvPr id="51" name="Retângulo: Cantos Arredondados 5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B563F56-8BDF-4FE6-9EC5-1FCCA58037BD}"/>
            </a:ext>
          </a:extLst>
        </xdr:cNvPr>
        <xdr:cNvSpPr/>
      </xdr:nvSpPr>
      <xdr:spPr>
        <a:xfrm>
          <a:off x="3717462" y="456922013"/>
          <a:ext cx="13320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 editAs="oneCell">
    <xdr:from>
      <xdr:col>2</xdr:col>
      <xdr:colOff>764320</xdr:colOff>
      <xdr:row>1896</xdr:row>
      <xdr:rowOff>144288</xdr:rowOff>
    </xdr:from>
    <xdr:to>
      <xdr:col>3</xdr:col>
      <xdr:colOff>521959</xdr:colOff>
      <xdr:row>1898</xdr:row>
      <xdr:rowOff>183990</xdr:rowOff>
    </xdr:to>
    <xdr:sp macro="" textlink="">
      <xdr:nvSpPr>
        <xdr:cNvPr id="52" name="Retângulo: Cantos Arredondados 5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5E2034-0FB1-4641-90B6-69CFFF4ADC46}"/>
            </a:ext>
          </a:extLst>
        </xdr:cNvPr>
        <xdr:cNvSpPr/>
      </xdr:nvSpPr>
      <xdr:spPr>
        <a:xfrm>
          <a:off x="5459585" y="452346464"/>
          <a:ext cx="1201517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588481</xdr:colOff>
      <xdr:row>1896</xdr:row>
      <xdr:rowOff>144288</xdr:rowOff>
    </xdr:from>
    <xdr:to>
      <xdr:col>4</xdr:col>
      <xdr:colOff>340518</xdr:colOff>
      <xdr:row>1898</xdr:row>
      <xdr:rowOff>183990</xdr:rowOff>
    </xdr:to>
    <xdr:sp macro="" textlink="">
      <xdr:nvSpPr>
        <xdr:cNvPr id="53" name="Retângulo: Cantos Arredondados 5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80A6CFE-01AD-41B8-83C3-9561CFCFFE6E}"/>
            </a:ext>
          </a:extLst>
        </xdr:cNvPr>
        <xdr:cNvSpPr/>
      </xdr:nvSpPr>
      <xdr:spPr>
        <a:xfrm>
          <a:off x="6389206" y="456925188"/>
          <a:ext cx="1133162" cy="515952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407039</xdr:colOff>
      <xdr:row>1896</xdr:row>
      <xdr:rowOff>144288</xdr:rowOff>
    </xdr:from>
    <xdr:to>
      <xdr:col>5</xdr:col>
      <xdr:colOff>192507</xdr:colOff>
      <xdr:row>1898</xdr:row>
      <xdr:rowOff>183990</xdr:rowOff>
    </xdr:to>
    <xdr:sp macro="" textlink="">
      <xdr:nvSpPr>
        <xdr:cNvPr id="54" name="Retângulo: Cantos Arredondados 5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AC3DA9E-D153-45C6-ADF9-98480E930072}"/>
            </a:ext>
          </a:extLst>
        </xdr:cNvPr>
        <xdr:cNvSpPr/>
      </xdr:nvSpPr>
      <xdr:spPr>
        <a:xfrm>
          <a:off x="7971010" y="452346464"/>
          <a:ext cx="1204693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70</xdr:col>
      <xdr:colOff>2501900</xdr:colOff>
      <xdr:row>220</xdr:row>
      <xdr:rowOff>149225</xdr:rowOff>
    </xdr:from>
    <xdr:to>
      <xdr:col>70</xdr:col>
      <xdr:colOff>3477125</xdr:colOff>
      <xdr:row>222</xdr:row>
      <xdr:rowOff>177909</xdr:rowOff>
    </xdr:to>
    <xdr:sp macro="" textlink="">
      <xdr:nvSpPr>
        <xdr:cNvPr id="23" name="Retângulo: Cantos Arredondados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5DDCB0-1461-4211-B2B9-E5E555CBEBC0}"/>
            </a:ext>
          </a:extLst>
        </xdr:cNvPr>
        <xdr:cNvSpPr/>
      </xdr:nvSpPr>
      <xdr:spPr>
        <a:xfrm>
          <a:off x="55213250" y="54984650"/>
          <a:ext cx="1067300" cy="50810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71</xdr:col>
      <xdr:colOff>54028</xdr:colOff>
      <xdr:row>220</xdr:row>
      <xdr:rowOff>149225</xdr:rowOff>
    </xdr:from>
    <xdr:to>
      <xdr:col>72</xdr:col>
      <xdr:colOff>174178</xdr:colOff>
      <xdr:row>222</xdr:row>
      <xdr:rowOff>180150</xdr:rowOff>
    </xdr:to>
    <xdr:sp macro="" textlink="">
      <xdr:nvSpPr>
        <xdr:cNvPr id="24" name="Retângulo: Cantos Arredondados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F5A43D-194F-4D55-BDBE-59F4D60CEF31}"/>
            </a:ext>
          </a:extLst>
        </xdr:cNvPr>
        <xdr:cNvSpPr/>
      </xdr:nvSpPr>
      <xdr:spPr>
        <a:xfrm>
          <a:off x="56356303" y="54365525"/>
          <a:ext cx="1215525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72</xdr:col>
      <xdr:colOff>227812</xdr:colOff>
      <xdr:row>220</xdr:row>
      <xdr:rowOff>149225</xdr:rowOff>
    </xdr:from>
    <xdr:to>
      <xdr:col>73</xdr:col>
      <xdr:colOff>335262</xdr:colOff>
      <xdr:row>222</xdr:row>
      <xdr:rowOff>180150</xdr:rowOff>
    </xdr:to>
    <xdr:sp macro="" textlink="">
      <xdr:nvSpPr>
        <xdr:cNvPr id="25" name="Retângulo: Cantos Arredondados 2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C90DCD-459C-4676-AD29-6C2CF7573BD9}"/>
            </a:ext>
          </a:extLst>
        </xdr:cNvPr>
        <xdr:cNvSpPr/>
      </xdr:nvSpPr>
      <xdr:spPr>
        <a:xfrm>
          <a:off x="57625462" y="54365525"/>
          <a:ext cx="119965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73</xdr:col>
      <xdr:colOff>401596</xdr:colOff>
      <xdr:row>220</xdr:row>
      <xdr:rowOff>149225</xdr:rowOff>
    </xdr:from>
    <xdr:to>
      <xdr:col>74</xdr:col>
      <xdr:colOff>515396</xdr:colOff>
      <xdr:row>222</xdr:row>
      <xdr:rowOff>180150</xdr:rowOff>
    </xdr:to>
    <xdr:sp macro="" textlink="">
      <xdr:nvSpPr>
        <xdr:cNvPr id="26" name="Retângulo: Cantos Arredondados 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C2C2A1-CF99-46E6-A3DD-9111D05D2783}"/>
            </a:ext>
          </a:extLst>
        </xdr:cNvPr>
        <xdr:cNvSpPr/>
      </xdr:nvSpPr>
      <xdr:spPr>
        <a:xfrm>
          <a:off x="58894621" y="54365525"/>
          <a:ext cx="1209175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2</xdr:col>
      <xdr:colOff>221877</xdr:colOff>
      <xdr:row>900</xdr:row>
      <xdr:rowOff>66675</xdr:rowOff>
    </xdr:from>
    <xdr:to>
      <xdr:col>3</xdr:col>
      <xdr:colOff>59331</xdr:colOff>
      <xdr:row>902</xdr:row>
      <xdr:rowOff>103951</xdr:rowOff>
    </xdr:to>
    <xdr:sp macro="" textlink="">
      <xdr:nvSpPr>
        <xdr:cNvPr id="27" name="Retângulo: Cantos Arredondados 2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92E546-FB6F-4487-AD86-B299C02812D3}"/>
            </a:ext>
          </a:extLst>
        </xdr:cNvPr>
        <xdr:cNvSpPr/>
      </xdr:nvSpPr>
      <xdr:spPr>
        <a:xfrm>
          <a:off x="4651002" y="217798650"/>
          <a:ext cx="1218579" cy="513526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3</xdr:col>
      <xdr:colOff>133614</xdr:colOff>
      <xdr:row>900</xdr:row>
      <xdr:rowOff>66675</xdr:rowOff>
    </xdr:from>
    <xdr:to>
      <xdr:col>4</xdr:col>
      <xdr:colOff>12211</xdr:colOff>
      <xdr:row>902</xdr:row>
      <xdr:rowOff>103951</xdr:rowOff>
    </xdr:to>
    <xdr:sp macro="" textlink="">
      <xdr:nvSpPr>
        <xdr:cNvPr id="28" name="Retângulo: Cantos Arredondados 2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8B45C32-DAA1-49A5-A4EF-3CE88E9755EB}"/>
            </a:ext>
          </a:extLst>
        </xdr:cNvPr>
        <xdr:cNvSpPr/>
      </xdr:nvSpPr>
      <xdr:spPr>
        <a:xfrm>
          <a:off x="5943864" y="217798650"/>
          <a:ext cx="1259722" cy="513526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>
    <xdr:from>
      <xdr:col>1</xdr:col>
      <xdr:colOff>3524250</xdr:colOff>
      <xdr:row>902</xdr:row>
      <xdr:rowOff>151653</xdr:rowOff>
    </xdr:from>
    <xdr:to>
      <xdr:col>2</xdr:col>
      <xdr:colOff>408514</xdr:colOff>
      <xdr:row>904</xdr:row>
      <xdr:rowOff>188928</xdr:rowOff>
    </xdr:to>
    <xdr:sp macro="" textlink="">
      <xdr:nvSpPr>
        <xdr:cNvPr id="29" name="Retângulo: Cantos Arredondados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FD1CE6-00B2-435F-9C87-79F06CA5B039}"/>
            </a:ext>
          </a:extLst>
        </xdr:cNvPr>
        <xdr:cNvSpPr/>
      </xdr:nvSpPr>
      <xdr:spPr>
        <a:xfrm>
          <a:off x="3695700" y="218359878"/>
          <a:ext cx="1141939" cy="5135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2</xdr:col>
      <xdr:colOff>470273</xdr:colOff>
      <xdr:row>902</xdr:row>
      <xdr:rowOff>151653</xdr:rowOff>
    </xdr:from>
    <xdr:to>
      <xdr:col>3</xdr:col>
      <xdr:colOff>208863</xdr:colOff>
      <xdr:row>904</xdr:row>
      <xdr:rowOff>188928</xdr:rowOff>
    </xdr:to>
    <xdr:sp macro="" textlink="">
      <xdr:nvSpPr>
        <xdr:cNvPr id="30" name="Retângulo: Cantos Arredondados 2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E61E9E9-6ADD-4BEB-A2D8-D34077E3412F}"/>
            </a:ext>
          </a:extLst>
        </xdr:cNvPr>
        <xdr:cNvSpPr/>
      </xdr:nvSpPr>
      <xdr:spPr>
        <a:xfrm>
          <a:off x="4899398" y="218359878"/>
          <a:ext cx="1119715" cy="5135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3</xdr:col>
      <xdr:colOff>276972</xdr:colOff>
      <xdr:row>902</xdr:row>
      <xdr:rowOff>151653</xdr:rowOff>
    </xdr:from>
    <xdr:to>
      <xdr:col>4</xdr:col>
      <xdr:colOff>9025</xdr:colOff>
      <xdr:row>904</xdr:row>
      <xdr:rowOff>188928</xdr:rowOff>
    </xdr:to>
    <xdr:sp macro="" textlink="">
      <xdr:nvSpPr>
        <xdr:cNvPr id="31" name="Retângulo: Cantos Arredondados 3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0AC6A3-FBF8-41EA-9F76-1FBBDE034CC0}"/>
            </a:ext>
          </a:extLst>
        </xdr:cNvPr>
        <xdr:cNvSpPr/>
      </xdr:nvSpPr>
      <xdr:spPr>
        <a:xfrm>
          <a:off x="6087222" y="218359878"/>
          <a:ext cx="1113178" cy="5135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83483</xdr:colOff>
      <xdr:row>1</xdr:row>
      <xdr:rowOff>140447</xdr:rowOff>
    </xdr:from>
    <xdr:to>
      <xdr:col>1</xdr:col>
      <xdr:colOff>2302808</xdr:colOff>
      <xdr:row>3</xdr:row>
      <xdr:rowOff>132197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BC18DB3-EF63-454B-B04A-61523B10E310}"/>
            </a:ext>
          </a:extLst>
        </xdr:cNvPr>
        <xdr:cNvGrpSpPr/>
      </xdr:nvGrpSpPr>
      <xdr:grpSpPr>
        <a:xfrm>
          <a:off x="261283" y="140447"/>
          <a:ext cx="2219325" cy="474350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6076B8D5-93D4-D9D6-9C28-200A1D0B343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BBB0C632-3DB1-56E9-48DF-1C32E7EBFA59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2D080FD3-7F02-23E3-FBF0-C3479110EF10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69</xdr:col>
      <xdr:colOff>95250</xdr:colOff>
      <xdr:row>243</xdr:row>
      <xdr:rowOff>161925</xdr:rowOff>
    </xdr:from>
    <xdr:to>
      <xdr:col>69</xdr:col>
      <xdr:colOff>2314575</xdr:colOff>
      <xdr:row>245</xdr:row>
      <xdr:rowOff>145214</xdr:rowOff>
    </xdr:to>
    <xdr:grpSp>
      <xdr:nvGrpSpPr>
        <xdr:cNvPr id="12" name="Agrupar 11">
          <a:extLst>
            <a:ext uri="{FF2B5EF4-FFF2-40B4-BE49-F238E27FC236}">
              <a16:creationId xmlns:a16="http://schemas.microsoft.com/office/drawing/2014/main" id="{09E8D9F3-36C8-40DE-A9D0-88023A173C71}"/>
            </a:ext>
          </a:extLst>
        </xdr:cNvPr>
        <xdr:cNvGrpSpPr/>
      </xdr:nvGrpSpPr>
      <xdr:grpSpPr>
        <a:xfrm>
          <a:off x="51714400" y="59458225"/>
          <a:ext cx="2219325" cy="465889"/>
          <a:chOff x="10465733" y="235697"/>
          <a:chExt cx="2241550" cy="459539"/>
        </a:xfrm>
      </xdr:grpSpPr>
      <xdr:pic>
        <xdr:nvPicPr>
          <xdr:cNvPr id="13" name="Imagem 12" descr="brasao do cemig">
            <a:extLst>
              <a:ext uri="{FF2B5EF4-FFF2-40B4-BE49-F238E27FC236}">
                <a16:creationId xmlns:a16="http://schemas.microsoft.com/office/drawing/2014/main" id="{33CF346F-3D6A-80C7-DE10-E1DF9EE4D7E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aixaDeTexto 13">
            <a:extLst>
              <a:ext uri="{FF2B5EF4-FFF2-40B4-BE49-F238E27FC236}">
                <a16:creationId xmlns:a16="http://schemas.microsoft.com/office/drawing/2014/main" id="{36BE9F3B-82C9-3699-ECA5-BEEEFFBDBB7E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5" name="Conector reto 14">
            <a:extLst>
              <a:ext uri="{FF2B5EF4-FFF2-40B4-BE49-F238E27FC236}">
                <a16:creationId xmlns:a16="http://schemas.microsoft.com/office/drawing/2014/main" id="{8FFE49EA-FEAA-4D22-D622-1634D1C0A4D3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111125</xdr:colOff>
      <xdr:row>1001</xdr:row>
      <xdr:rowOff>161925</xdr:rowOff>
    </xdr:from>
    <xdr:to>
      <xdr:col>1</xdr:col>
      <xdr:colOff>2330450</xdr:colOff>
      <xdr:row>1003</xdr:row>
      <xdr:rowOff>145214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0250AFED-3DAB-4B3C-8B3B-448722051CBA}"/>
            </a:ext>
          </a:extLst>
        </xdr:cNvPr>
        <xdr:cNvGrpSpPr/>
      </xdr:nvGrpSpPr>
      <xdr:grpSpPr>
        <a:xfrm>
          <a:off x="288925" y="245246525"/>
          <a:ext cx="2219325" cy="465889"/>
          <a:chOff x="10465733" y="235697"/>
          <a:chExt cx="2241550" cy="459539"/>
        </a:xfrm>
      </xdr:grpSpPr>
      <xdr:pic>
        <xdr:nvPicPr>
          <xdr:cNvPr id="11" name="Imagem 10" descr="brasao do cemig">
            <a:extLst>
              <a:ext uri="{FF2B5EF4-FFF2-40B4-BE49-F238E27FC236}">
                <a16:creationId xmlns:a16="http://schemas.microsoft.com/office/drawing/2014/main" id="{53D03EB1-0121-1581-6DE7-988D99A35E6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6A6814A3-CA04-9A3E-F51E-442F2B6A59BA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7" name="Conector reto 16">
            <a:extLst>
              <a:ext uri="{FF2B5EF4-FFF2-40B4-BE49-F238E27FC236}">
                <a16:creationId xmlns:a16="http://schemas.microsoft.com/office/drawing/2014/main" id="{4A2F3709-CFCE-2EC9-CA3D-D154BF590C31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104775</xdr:colOff>
      <xdr:row>2003</xdr:row>
      <xdr:rowOff>158750</xdr:rowOff>
    </xdr:from>
    <xdr:to>
      <xdr:col>1</xdr:col>
      <xdr:colOff>2324100</xdr:colOff>
      <xdr:row>2005</xdr:row>
      <xdr:rowOff>142039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80B1D844-C40A-4E3A-878D-8FCDEA85A06C}"/>
            </a:ext>
          </a:extLst>
        </xdr:cNvPr>
        <xdr:cNvGrpSpPr/>
      </xdr:nvGrpSpPr>
      <xdr:grpSpPr>
        <a:xfrm>
          <a:off x="282575" y="487927650"/>
          <a:ext cx="2219325" cy="465889"/>
          <a:chOff x="10465733" y="235697"/>
          <a:chExt cx="2241550" cy="459539"/>
        </a:xfrm>
      </xdr:grpSpPr>
      <xdr:pic>
        <xdr:nvPicPr>
          <xdr:cNvPr id="19" name="Imagem 18" descr="brasao do cemig">
            <a:extLst>
              <a:ext uri="{FF2B5EF4-FFF2-40B4-BE49-F238E27FC236}">
                <a16:creationId xmlns:a16="http://schemas.microsoft.com/office/drawing/2014/main" id="{84240368-E827-9E44-621C-C51BDE00AB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50800" dir="5400000" algn="ctr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589E4EB3-5A63-19F2-F714-873E0846A65E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21" name="Conector reto 20">
            <a:extLst>
              <a:ext uri="{FF2B5EF4-FFF2-40B4-BE49-F238E27FC236}">
                <a16:creationId xmlns:a16="http://schemas.microsoft.com/office/drawing/2014/main" id="{A902238F-B2EE-FEBB-A7A5-6F340F152810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2743200</xdr:colOff>
      <xdr:row>1</xdr:row>
      <xdr:rowOff>155571</xdr:rowOff>
    </xdr:from>
    <xdr:to>
      <xdr:col>1</xdr:col>
      <xdr:colOff>3810500</xdr:colOff>
      <xdr:row>3</xdr:row>
      <xdr:rowOff>181080</xdr:rowOff>
    </xdr:to>
    <xdr:sp macro="" textlink="">
      <xdr:nvSpPr>
        <xdr:cNvPr id="27" name="Retângulo: Cantos Arredondados 2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C6E283-C3DD-4402-BBAA-C40B393B130E}"/>
            </a:ext>
          </a:extLst>
        </xdr:cNvPr>
        <xdr:cNvSpPr/>
      </xdr:nvSpPr>
      <xdr:spPr>
        <a:xfrm>
          <a:off x="2924175" y="155571"/>
          <a:ext cx="1067300" cy="50175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3854898</xdr:colOff>
      <xdr:row>1</xdr:row>
      <xdr:rowOff>155571</xdr:rowOff>
    </xdr:from>
    <xdr:to>
      <xdr:col>2</xdr:col>
      <xdr:colOff>148173</xdr:colOff>
      <xdr:row>3</xdr:row>
      <xdr:rowOff>183321</xdr:rowOff>
    </xdr:to>
    <xdr:sp macro="" textlink="">
      <xdr:nvSpPr>
        <xdr:cNvPr id="28" name="Retângulo: Cantos Arredondados 2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A44445-C545-470C-B5FA-4DE1C39E4E9D}"/>
            </a:ext>
          </a:extLst>
        </xdr:cNvPr>
        <xdr:cNvSpPr/>
      </xdr:nvSpPr>
      <xdr:spPr>
        <a:xfrm>
          <a:off x="4026348" y="155571"/>
          <a:ext cx="13320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 editAs="oneCell">
    <xdr:from>
      <xdr:col>2</xdr:col>
      <xdr:colOff>607599</xdr:colOff>
      <xdr:row>1</xdr:row>
      <xdr:rowOff>158750</xdr:rowOff>
    </xdr:from>
    <xdr:to>
      <xdr:col>3</xdr:col>
      <xdr:colOff>368413</xdr:colOff>
      <xdr:row>3</xdr:row>
      <xdr:rowOff>190609</xdr:rowOff>
    </xdr:to>
    <xdr:sp macro="" textlink="">
      <xdr:nvSpPr>
        <xdr:cNvPr id="29" name="Retângulo: Cantos Arredondados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6E90F2-C5E8-478A-B8FB-9A05413D3DAC}"/>
            </a:ext>
          </a:extLst>
        </xdr:cNvPr>
        <xdr:cNvSpPr/>
      </xdr:nvSpPr>
      <xdr:spPr>
        <a:xfrm>
          <a:off x="6065424" y="158750"/>
          <a:ext cx="1199089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430172</xdr:colOff>
      <xdr:row>1</xdr:row>
      <xdr:rowOff>158750</xdr:rowOff>
    </xdr:from>
    <xdr:to>
      <xdr:col>4</xdr:col>
      <xdr:colOff>190987</xdr:colOff>
      <xdr:row>3</xdr:row>
      <xdr:rowOff>190609</xdr:rowOff>
    </xdr:to>
    <xdr:sp macro="" textlink="">
      <xdr:nvSpPr>
        <xdr:cNvPr id="30" name="Retângulo: Cantos Arredondados 2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25A8F8-0537-448A-B0EE-A3986A3BC189}"/>
            </a:ext>
          </a:extLst>
        </xdr:cNvPr>
        <xdr:cNvSpPr/>
      </xdr:nvSpPr>
      <xdr:spPr>
        <a:xfrm>
          <a:off x="7326272" y="158750"/>
          <a:ext cx="1199090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249571</xdr:colOff>
      <xdr:row>1</xdr:row>
      <xdr:rowOff>158750</xdr:rowOff>
    </xdr:from>
    <xdr:to>
      <xdr:col>5</xdr:col>
      <xdr:colOff>6650</xdr:colOff>
      <xdr:row>3</xdr:row>
      <xdr:rowOff>190609</xdr:rowOff>
    </xdr:to>
    <xdr:sp macro="" textlink="">
      <xdr:nvSpPr>
        <xdr:cNvPr id="31" name="Retângulo: Cantos Arredondados 3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13DBA0-F052-481C-B65A-AC81B2E3AF9E}"/>
            </a:ext>
          </a:extLst>
        </xdr:cNvPr>
        <xdr:cNvSpPr/>
      </xdr:nvSpPr>
      <xdr:spPr>
        <a:xfrm>
          <a:off x="8583946" y="158750"/>
          <a:ext cx="1195354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2381245</xdr:colOff>
      <xdr:row>243</xdr:row>
      <xdr:rowOff>149225</xdr:rowOff>
    </xdr:from>
    <xdr:to>
      <xdr:col>69</xdr:col>
      <xdr:colOff>3572420</xdr:colOff>
      <xdr:row>245</xdr:row>
      <xdr:rowOff>180150</xdr:rowOff>
    </xdr:to>
    <xdr:sp macro="" textlink="">
      <xdr:nvSpPr>
        <xdr:cNvPr id="32" name="Retângulo: Cantos Arredondados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DED0AC-8B80-40A1-A55E-013B40CE09AC}"/>
            </a:ext>
          </a:extLst>
        </xdr:cNvPr>
        <xdr:cNvSpPr/>
      </xdr:nvSpPr>
      <xdr:spPr>
        <a:xfrm>
          <a:off x="54006745" y="58451750"/>
          <a:ext cx="1188000" cy="5103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3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2817531</xdr:colOff>
      <xdr:row>1001</xdr:row>
      <xdr:rowOff>141008</xdr:rowOff>
    </xdr:from>
    <xdr:to>
      <xdr:col>1</xdr:col>
      <xdr:colOff>3884831</xdr:colOff>
      <xdr:row>1003</xdr:row>
      <xdr:rowOff>168758</xdr:rowOff>
    </xdr:to>
    <xdr:sp macro="" textlink="">
      <xdr:nvSpPr>
        <xdr:cNvPr id="37" name="Retângulo: Cantos Arredondados 3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F72A30-9959-47A9-86B1-371A4D7F4AC9}"/>
            </a:ext>
          </a:extLst>
        </xdr:cNvPr>
        <xdr:cNvSpPr/>
      </xdr:nvSpPr>
      <xdr:spPr>
        <a:xfrm>
          <a:off x="3036606" y="241914083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3926051</xdr:colOff>
      <xdr:row>1001</xdr:row>
      <xdr:rowOff>141008</xdr:rowOff>
    </xdr:from>
    <xdr:to>
      <xdr:col>2</xdr:col>
      <xdr:colOff>183326</xdr:colOff>
      <xdr:row>1003</xdr:row>
      <xdr:rowOff>168758</xdr:rowOff>
    </xdr:to>
    <xdr:sp macro="" textlink="">
      <xdr:nvSpPr>
        <xdr:cNvPr id="38" name="Retângulo: Cantos Arredondados 3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8547839-0D17-4AE8-AA3B-E42FA4FA19A5}"/>
            </a:ext>
          </a:extLst>
        </xdr:cNvPr>
        <xdr:cNvSpPr/>
      </xdr:nvSpPr>
      <xdr:spPr>
        <a:xfrm>
          <a:off x="4097501" y="240875858"/>
          <a:ext cx="12960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 editAs="oneCell">
    <xdr:from>
      <xdr:col>2</xdr:col>
      <xdr:colOff>640655</xdr:colOff>
      <xdr:row>1001</xdr:row>
      <xdr:rowOff>141008</xdr:rowOff>
    </xdr:from>
    <xdr:to>
      <xdr:col>3</xdr:col>
      <xdr:colOff>398294</xdr:colOff>
      <xdr:row>1003</xdr:row>
      <xdr:rowOff>180711</xdr:rowOff>
    </xdr:to>
    <xdr:sp macro="" textlink="">
      <xdr:nvSpPr>
        <xdr:cNvPr id="39" name="Retângulo: Cantos Arredondados 3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42089BE-10A7-4674-9D1C-F7A415F20B9B}"/>
            </a:ext>
          </a:extLst>
        </xdr:cNvPr>
        <xdr:cNvSpPr/>
      </xdr:nvSpPr>
      <xdr:spPr>
        <a:xfrm>
          <a:off x="6146105" y="241914083"/>
          <a:ext cx="1195914" cy="515953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455291</xdr:colOff>
      <xdr:row>1001</xdr:row>
      <xdr:rowOff>141008</xdr:rowOff>
    </xdr:from>
    <xdr:to>
      <xdr:col>4</xdr:col>
      <xdr:colOff>207328</xdr:colOff>
      <xdr:row>1003</xdr:row>
      <xdr:rowOff>180711</xdr:rowOff>
    </xdr:to>
    <xdr:sp macro="" textlink="">
      <xdr:nvSpPr>
        <xdr:cNvPr id="40" name="Retângulo: Cantos Arredondados 3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71FE5A4-66B6-4BA9-B064-4C477DF32AE0}"/>
            </a:ext>
          </a:extLst>
        </xdr:cNvPr>
        <xdr:cNvSpPr/>
      </xdr:nvSpPr>
      <xdr:spPr>
        <a:xfrm>
          <a:off x="7399016" y="241914083"/>
          <a:ext cx="1190312" cy="515953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264324</xdr:colOff>
      <xdr:row>1001</xdr:row>
      <xdr:rowOff>141008</xdr:rowOff>
    </xdr:from>
    <xdr:to>
      <xdr:col>5</xdr:col>
      <xdr:colOff>18228</xdr:colOff>
      <xdr:row>1003</xdr:row>
      <xdr:rowOff>180711</xdr:rowOff>
    </xdr:to>
    <xdr:sp macro="" textlink="">
      <xdr:nvSpPr>
        <xdr:cNvPr id="41" name="Retângulo: Cantos Arredondados 4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CE0F74-D961-4EED-829F-B580EDBBA450}"/>
            </a:ext>
          </a:extLst>
        </xdr:cNvPr>
        <xdr:cNvSpPr/>
      </xdr:nvSpPr>
      <xdr:spPr>
        <a:xfrm>
          <a:off x="8217699" y="240875858"/>
          <a:ext cx="1125504" cy="515953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6350</xdr:colOff>
      <xdr:row>286</xdr:row>
      <xdr:rowOff>177800</xdr:rowOff>
    </xdr:from>
    <xdr:to>
      <xdr:col>69</xdr:col>
      <xdr:colOff>1073650</xdr:colOff>
      <xdr:row>287</xdr:row>
      <xdr:rowOff>301734</xdr:rowOff>
    </xdr:to>
    <xdr:sp macro="" textlink="">
      <xdr:nvSpPr>
        <xdr:cNvPr id="42" name="Retângulo: Cantos Arredondados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71F19F-29F2-43A5-820C-1BBF0F5A24BE}"/>
            </a:ext>
          </a:extLst>
        </xdr:cNvPr>
        <xdr:cNvSpPr/>
      </xdr:nvSpPr>
      <xdr:spPr>
        <a:xfrm>
          <a:off x="47574200" y="70472300"/>
          <a:ext cx="1067300" cy="504934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69</xdr:col>
      <xdr:colOff>0</xdr:colOff>
      <xdr:row>322</xdr:row>
      <xdr:rowOff>196850</xdr:rowOff>
    </xdr:from>
    <xdr:to>
      <xdr:col>69</xdr:col>
      <xdr:colOff>1067300</xdr:colOff>
      <xdr:row>323</xdr:row>
      <xdr:rowOff>323959</xdr:rowOff>
    </xdr:to>
    <xdr:sp macro="" textlink="">
      <xdr:nvSpPr>
        <xdr:cNvPr id="46" name="Retângulo: Cantos Arredondados 4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2F4418-0B5A-4B4F-8E8E-D9F16132930D}"/>
            </a:ext>
          </a:extLst>
        </xdr:cNvPr>
        <xdr:cNvSpPr/>
      </xdr:nvSpPr>
      <xdr:spPr>
        <a:xfrm>
          <a:off x="47567850" y="79568675"/>
          <a:ext cx="1067300" cy="50810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2765051</xdr:colOff>
      <xdr:row>2003</xdr:row>
      <xdr:rowOff>153146</xdr:rowOff>
    </xdr:from>
    <xdr:to>
      <xdr:col>1</xdr:col>
      <xdr:colOff>3829176</xdr:colOff>
      <xdr:row>2005</xdr:row>
      <xdr:rowOff>178283</xdr:rowOff>
    </xdr:to>
    <xdr:sp macro="" textlink="">
      <xdr:nvSpPr>
        <xdr:cNvPr id="50" name="Retângulo: Cantos Arredondados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22A8A7-774E-445E-8AD7-3429B4E7FA6F}"/>
            </a:ext>
          </a:extLst>
        </xdr:cNvPr>
        <xdr:cNvSpPr/>
      </xdr:nvSpPr>
      <xdr:spPr>
        <a:xfrm>
          <a:off x="2984126" y="480965621"/>
          <a:ext cx="1064125" cy="501386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3883101</xdr:colOff>
      <xdr:row>2003</xdr:row>
      <xdr:rowOff>153146</xdr:rowOff>
    </xdr:from>
    <xdr:to>
      <xdr:col>2</xdr:col>
      <xdr:colOff>176376</xdr:colOff>
      <xdr:row>2005</xdr:row>
      <xdr:rowOff>178283</xdr:rowOff>
    </xdr:to>
    <xdr:sp macro="" textlink="">
      <xdr:nvSpPr>
        <xdr:cNvPr id="51" name="Retângulo: Cantos Arredondados 5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CD0F46B-7962-4CC5-88CD-F950873D4F6D}"/>
            </a:ext>
          </a:extLst>
        </xdr:cNvPr>
        <xdr:cNvSpPr/>
      </xdr:nvSpPr>
      <xdr:spPr>
        <a:xfrm>
          <a:off x="4054551" y="479917871"/>
          <a:ext cx="1332000" cy="501386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 editAs="oneCell">
    <xdr:from>
      <xdr:col>2</xdr:col>
      <xdr:colOff>629450</xdr:colOff>
      <xdr:row>2003</xdr:row>
      <xdr:rowOff>153146</xdr:rowOff>
    </xdr:from>
    <xdr:to>
      <xdr:col>3</xdr:col>
      <xdr:colOff>393439</xdr:colOff>
      <xdr:row>2005</xdr:row>
      <xdr:rowOff>181458</xdr:rowOff>
    </xdr:to>
    <xdr:sp macro="" textlink="">
      <xdr:nvSpPr>
        <xdr:cNvPr id="52" name="Retângulo: Cantos Arredondados 5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F3BF249-690E-4797-983B-5AC55F50EE17}"/>
            </a:ext>
          </a:extLst>
        </xdr:cNvPr>
        <xdr:cNvSpPr/>
      </xdr:nvSpPr>
      <xdr:spPr>
        <a:xfrm>
          <a:off x="6134900" y="480965621"/>
          <a:ext cx="1202264" cy="504561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458373</xdr:colOff>
      <xdr:row>2003</xdr:row>
      <xdr:rowOff>153146</xdr:rowOff>
    </xdr:from>
    <xdr:to>
      <xdr:col>4</xdr:col>
      <xdr:colOff>200885</xdr:colOff>
      <xdr:row>2005</xdr:row>
      <xdr:rowOff>181458</xdr:rowOff>
    </xdr:to>
    <xdr:sp macro="" textlink="">
      <xdr:nvSpPr>
        <xdr:cNvPr id="53" name="Retângulo: Cantos Arredondados 5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F6E6506-97A6-4C15-847F-6B4D87E844D9}"/>
            </a:ext>
          </a:extLst>
        </xdr:cNvPr>
        <xdr:cNvSpPr/>
      </xdr:nvSpPr>
      <xdr:spPr>
        <a:xfrm>
          <a:off x="7402098" y="480965621"/>
          <a:ext cx="1180787" cy="504561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268994</xdr:colOff>
      <xdr:row>2003</xdr:row>
      <xdr:rowOff>153146</xdr:rowOff>
    </xdr:from>
    <xdr:to>
      <xdr:col>5</xdr:col>
      <xdr:colOff>3101</xdr:colOff>
      <xdr:row>2005</xdr:row>
      <xdr:rowOff>181458</xdr:rowOff>
    </xdr:to>
    <xdr:sp macro="" textlink="">
      <xdr:nvSpPr>
        <xdr:cNvPr id="54" name="Retângulo: Cantos Arredondados 5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9D8D9F8-D37E-412D-BCBE-0BD136257817}"/>
            </a:ext>
          </a:extLst>
        </xdr:cNvPr>
        <xdr:cNvSpPr/>
      </xdr:nvSpPr>
      <xdr:spPr>
        <a:xfrm>
          <a:off x="8650994" y="480965621"/>
          <a:ext cx="1172382" cy="504561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4114800</xdr:colOff>
      <xdr:row>243</xdr:row>
      <xdr:rowOff>149225</xdr:rowOff>
    </xdr:from>
    <xdr:to>
      <xdr:col>70</xdr:col>
      <xdr:colOff>228075</xdr:colOff>
      <xdr:row>245</xdr:row>
      <xdr:rowOff>183325</xdr:rowOff>
    </xdr:to>
    <xdr:sp macro="" textlink="">
      <xdr:nvSpPr>
        <xdr:cNvPr id="6" name="Retângulo: Cantos Arredondados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B111456-3A47-40D7-99A1-6C28EE8D631A}"/>
            </a:ext>
          </a:extLst>
        </xdr:cNvPr>
        <xdr:cNvSpPr/>
      </xdr:nvSpPr>
      <xdr:spPr>
        <a:xfrm>
          <a:off x="53340000" y="58442225"/>
          <a:ext cx="1152000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70</xdr:col>
      <xdr:colOff>289299</xdr:colOff>
      <xdr:row>243</xdr:row>
      <xdr:rowOff>149225</xdr:rowOff>
    </xdr:from>
    <xdr:to>
      <xdr:col>71</xdr:col>
      <xdr:colOff>69699</xdr:colOff>
      <xdr:row>245</xdr:row>
      <xdr:rowOff>183325</xdr:rowOff>
    </xdr:to>
    <xdr:sp macro="" textlink="">
      <xdr:nvSpPr>
        <xdr:cNvPr id="7" name="Retângulo: Cantos Arredondado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4DF62B-116C-4ACC-BC21-FB3C9955840D}"/>
            </a:ext>
          </a:extLst>
        </xdr:cNvPr>
        <xdr:cNvSpPr/>
      </xdr:nvSpPr>
      <xdr:spPr>
        <a:xfrm>
          <a:off x="54553224" y="58442225"/>
          <a:ext cx="1152000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71</xdr:col>
      <xdr:colOff>130922</xdr:colOff>
      <xdr:row>243</xdr:row>
      <xdr:rowOff>149225</xdr:rowOff>
    </xdr:from>
    <xdr:to>
      <xdr:col>72</xdr:col>
      <xdr:colOff>244697</xdr:colOff>
      <xdr:row>245</xdr:row>
      <xdr:rowOff>183325</xdr:rowOff>
    </xdr:to>
    <xdr:sp macro="" textlink="">
      <xdr:nvSpPr>
        <xdr:cNvPr id="8" name="Retângulo: Cantos Arredondado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0E74CD-A6CB-45A5-8000-53570A25D754}"/>
            </a:ext>
          </a:extLst>
        </xdr:cNvPr>
        <xdr:cNvSpPr/>
      </xdr:nvSpPr>
      <xdr:spPr>
        <a:xfrm>
          <a:off x="55766447" y="58442225"/>
          <a:ext cx="1152000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1733550</xdr:colOff>
      <xdr:row>286</xdr:row>
      <xdr:rowOff>177800</xdr:rowOff>
    </xdr:from>
    <xdr:to>
      <xdr:col>69</xdr:col>
      <xdr:colOff>2923114</xdr:colOff>
      <xdr:row>287</xdr:row>
      <xdr:rowOff>301734</xdr:rowOff>
    </xdr:to>
    <xdr:sp macro="" textlink="">
      <xdr:nvSpPr>
        <xdr:cNvPr id="9" name="Retângulo: Cantos Arredondados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302542-FC65-4232-BB4B-ECADA41D96BC}"/>
            </a:ext>
          </a:extLst>
        </xdr:cNvPr>
        <xdr:cNvSpPr/>
      </xdr:nvSpPr>
      <xdr:spPr>
        <a:xfrm>
          <a:off x="49301400" y="70472300"/>
          <a:ext cx="1189564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69</xdr:col>
      <xdr:colOff>2991223</xdr:colOff>
      <xdr:row>286</xdr:row>
      <xdr:rowOff>177800</xdr:rowOff>
    </xdr:from>
    <xdr:to>
      <xdr:col>69</xdr:col>
      <xdr:colOff>4180788</xdr:colOff>
      <xdr:row>287</xdr:row>
      <xdr:rowOff>301734</xdr:rowOff>
    </xdr:to>
    <xdr:sp macro="" textlink="">
      <xdr:nvSpPr>
        <xdr:cNvPr id="22" name="Retângulo: Cantos Arredondados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DC413F-8770-489B-9599-C1DF86E1F609}"/>
            </a:ext>
          </a:extLst>
        </xdr:cNvPr>
        <xdr:cNvSpPr/>
      </xdr:nvSpPr>
      <xdr:spPr>
        <a:xfrm>
          <a:off x="50559073" y="70472300"/>
          <a:ext cx="1189565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69</xdr:col>
      <xdr:colOff>4245722</xdr:colOff>
      <xdr:row>286</xdr:row>
      <xdr:rowOff>177800</xdr:rowOff>
    </xdr:from>
    <xdr:to>
      <xdr:col>70</xdr:col>
      <xdr:colOff>154701</xdr:colOff>
      <xdr:row>287</xdr:row>
      <xdr:rowOff>301734</xdr:rowOff>
    </xdr:to>
    <xdr:sp macro="" textlink="">
      <xdr:nvSpPr>
        <xdr:cNvPr id="23" name="Retângulo: Cantos Arredondados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18BADD-1326-46FA-A895-6705E6B94418}"/>
            </a:ext>
          </a:extLst>
        </xdr:cNvPr>
        <xdr:cNvSpPr/>
      </xdr:nvSpPr>
      <xdr:spPr>
        <a:xfrm>
          <a:off x="51813572" y="70472300"/>
          <a:ext cx="1195354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1638300</xdr:colOff>
      <xdr:row>322</xdr:row>
      <xdr:rowOff>196850</xdr:rowOff>
    </xdr:from>
    <xdr:to>
      <xdr:col>69</xdr:col>
      <xdr:colOff>2827864</xdr:colOff>
      <xdr:row>323</xdr:row>
      <xdr:rowOff>320784</xdr:rowOff>
    </xdr:to>
    <xdr:sp macro="" textlink="">
      <xdr:nvSpPr>
        <xdr:cNvPr id="24" name="Retângulo: Cantos Arredondados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D753AE5-93EF-4D78-8D7B-797E3D039056}"/>
            </a:ext>
          </a:extLst>
        </xdr:cNvPr>
        <xdr:cNvSpPr/>
      </xdr:nvSpPr>
      <xdr:spPr>
        <a:xfrm>
          <a:off x="49206150" y="79568675"/>
          <a:ext cx="1189564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69</xdr:col>
      <xdr:colOff>2895973</xdr:colOff>
      <xdr:row>322</xdr:row>
      <xdr:rowOff>196850</xdr:rowOff>
    </xdr:from>
    <xdr:to>
      <xdr:col>69</xdr:col>
      <xdr:colOff>4085538</xdr:colOff>
      <xdr:row>323</xdr:row>
      <xdr:rowOff>320784</xdr:rowOff>
    </xdr:to>
    <xdr:sp macro="" textlink="">
      <xdr:nvSpPr>
        <xdr:cNvPr id="25" name="Retângulo: Cantos Arredondados 2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F4945F-A3F2-4D27-AE2A-D8A86A6A346A}"/>
            </a:ext>
          </a:extLst>
        </xdr:cNvPr>
        <xdr:cNvSpPr/>
      </xdr:nvSpPr>
      <xdr:spPr>
        <a:xfrm>
          <a:off x="50463823" y="79568675"/>
          <a:ext cx="1189565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69</xdr:col>
      <xdr:colOff>4150472</xdr:colOff>
      <xdr:row>322</xdr:row>
      <xdr:rowOff>196850</xdr:rowOff>
    </xdr:from>
    <xdr:to>
      <xdr:col>70</xdr:col>
      <xdr:colOff>299747</xdr:colOff>
      <xdr:row>323</xdr:row>
      <xdr:rowOff>320784</xdr:rowOff>
    </xdr:to>
    <xdr:sp macro="" textlink="">
      <xdr:nvSpPr>
        <xdr:cNvPr id="26" name="Retângulo: Cantos Arredondados 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702402-4763-447B-AE44-115887387E9B}"/>
            </a:ext>
          </a:extLst>
        </xdr:cNvPr>
        <xdr:cNvSpPr/>
      </xdr:nvSpPr>
      <xdr:spPr>
        <a:xfrm>
          <a:off x="53375672" y="79463900"/>
          <a:ext cx="1188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96612</xdr:colOff>
      <xdr:row>0</xdr:row>
      <xdr:rowOff>133483</xdr:rowOff>
    </xdr:from>
    <xdr:to>
      <xdr:col>1</xdr:col>
      <xdr:colOff>2312202</xdr:colOff>
      <xdr:row>3</xdr:row>
      <xdr:rowOff>64454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0C4C993-9457-4165-992E-725D4CFE052C}"/>
            </a:ext>
          </a:extLst>
        </xdr:cNvPr>
        <xdr:cNvGrpSpPr/>
      </xdr:nvGrpSpPr>
      <xdr:grpSpPr>
        <a:xfrm>
          <a:off x="278041" y="133483"/>
          <a:ext cx="2215590" cy="475257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18615501-B0E4-D0D5-330E-26AC3D5DF4C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5722949D-9BE2-8EA0-0BD8-16A53F035459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B3A2057A-753A-C84D-BA7F-A95F50BC15B5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1</xdr:col>
      <xdr:colOff>3846606</xdr:colOff>
      <xdr:row>0</xdr:row>
      <xdr:rowOff>140819</xdr:rowOff>
    </xdr:from>
    <xdr:to>
      <xdr:col>2</xdr:col>
      <xdr:colOff>1928</xdr:colOff>
      <xdr:row>3</xdr:row>
      <xdr:rowOff>103762</xdr:rowOff>
    </xdr:to>
    <xdr:sp macro="" textlink="">
      <xdr:nvSpPr>
        <xdr:cNvPr id="11" name="Retângulo: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603556-F40E-494C-A7D4-3941200401F4}"/>
            </a:ext>
          </a:extLst>
        </xdr:cNvPr>
        <xdr:cNvSpPr/>
      </xdr:nvSpPr>
      <xdr:spPr>
        <a:xfrm>
          <a:off x="4018056" y="137644"/>
          <a:ext cx="1197222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2344403</xdr:colOff>
      <xdr:row>0</xdr:row>
      <xdr:rowOff>142128</xdr:rowOff>
    </xdr:from>
    <xdr:to>
      <xdr:col>1</xdr:col>
      <xdr:colOff>3411703</xdr:colOff>
      <xdr:row>2</xdr:row>
      <xdr:rowOff>169878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5F39A-CCE5-4490-ABC3-9E6EE9C42DD2}"/>
            </a:ext>
          </a:extLst>
        </xdr:cNvPr>
        <xdr:cNvSpPr/>
      </xdr:nvSpPr>
      <xdr:spPr>
        <a:xfrm>
          <a:off x="2515853" y="142128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933</xdr:colOff>
      <xdr:row>0</xdr:row>
      <xdr:rowOff>153147</xdr:rowOff>
    </xdr:from>
    <xdr:to>
      <xdr:col>1</xdr:col>
      <xdr:colOff>2220258</xdr:colOff>
      <xdr:row>2</xdr:row>
      <xdr:rowOff>145961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8C0F71D1-41E4-43E5-AC10-C1763D6FB59D}"/>
            </a:ext>
          </a:extLst>
        </xdr:cNvPr>
        <xdr:cNvGrpSpPr/>
      </xdr:nvGrpSpPr>
      <xdr:grpSpPr>
        <a:xfrm>
          <a:off x="178733" y="153147"/>
          <a:ext cx="2219325" cy="475414"/>
          <a:chOff x="10465733" y="235697"/>
          <a:chExt cx="2241550" cy="459539"/>
        </a:xfrm>
      </xdr:grpSpPr>
      <xdr:pic>
        <xdr:nvPicPr>
          <xdr:cNvPr id="7" name="Imagem 6" descr="brasao do cemig">
            <a:extLst>
              <a:ext uri="{FF2B5EF4-FFF2-40B4-BE49-F238E27FC236}">
                <a16:creationId xmlns:a16="http://schemas.microsoft.com/office/drawing/2014/main" id="{61DC5A42-CE3C-E079-D6A5-53C82C1DDD4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3E678C0A-CECE-81B9-532B-4235BF88DBA9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9" name="Conector reto 8">
            <a:extLst>
              <a:ext uri="{FF2B5EF4-FFF2-40B4-BE49-F238E27FC236}">
                <a16:creationId xmlns:a16="http://schemas.microsoft.com/office/drawing/2014/main" id="{6FF2BED8-D906-68D3-4071-E76EDF03BFE9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3456104</xdr:colOff>
      <xdr:row>0</xdr:row>
      <xdr:rowOff>142128</xdr:rowOff>
    </xdr:from>
    <xdr:to>
      <xdr:col>1</xdr:col>
      <xdr:colOff>4788104</xdr:colOff>
      <xdr:row>2</xdr:row>
      <xdr:rowOff>169878</xdr:rowOff>
    </xdr:to>
    <xdr:sp macro="" textlink="">
      <xdr:nvSpPr>
        <xdr:cNvPr id="26" name="Retângulo: Cantos Arredondados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53C7B6-77F0-4148-BA6C-F78D57C40DDF}"/>
            </a:ext>
          </a:extLst>
        </xdr:cNvPr>
        <xdr:cNvSpPr/>
      </xdr:nvSpPr>
      <xdr:spPr>
        <a:xfrm>
          <a:off x="3627554" y="142128"/>
          <a:ext cx="13320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>
    <xdr:from>
      <xdr:col>66</xdr:col>
      <xdr:colOff>74710</xdr:colOff>
      <xdr:row>197</xdr:row>
      <xdr:rowOff>179291</xdr:rowOff>
    </xdr:from>
    <xdr:to>
      <xdr:col>66</xdr:col>
      <xdr:colOff>2290862</xdr:colOff>
      <xdr:row>199</xdr:row>
      <xdr:rowOff>153456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2027FACF-67DE-4748-97DD-AE54C03E288D}"/>
            </a:ext>
          </a:extLst>
        </xdr:cNvPr>
        <xdr:cNvGrpSpPr/>
      </xdr:nvGrpSpPr>
      <xdr:grpSpPr>
        <a:xfrm>
          <a:off x="49382460" y="49290191"/>
          <a:ext cx="2216152" cy="456765"/>
          <a:chOff x="10465731" y="235697"/>
          <a:chExt cx="2241552" cy="459539"/>
        </a:xfrm>
      </xdr:grpSpPr>
      <xdr:pic>
        <xdr:nvPicPr>
          <xdr:cNvPr id="15" name="Imagem 14" descr="brasao do cemig">
            <a:extLst>
              <a:ext uri="{FF2B5EF4-FFF2-40B4-BE49-F238E27FC236}">
                <a16:creationId xmlns:a16="http://schemas.microsoft.com/office/drawing/2014/main" id="{F79F6E36-9B9D-B864-6D8D-F9FFA3FAE8C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1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8F91D99E-2321-8C0C-E51F-0355A659C561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7" name="Conector reto 16">
            <a:extLst>
              <a:ext uri="{FF2B5EF4-FFF2-40B4-BE49-F238E27FC236}">
                <a16:creationId xmlns:a16="http://schemas.microsoft.com/office/drawing/2014/main" id="{1074248B-6EDA-9EA5-B90C-35CE3104F66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104402</xdr:colOff>
      <xdr:row>1002</xdr:row>
      <xdr:rowOff>144369</xdr:rowOff>
    </xdr:from>
    <xdr:to>
      <xdr:col>1</xdr:col>
      <xdr:colOff>2323727</xdr:colOff>
      <xdr:row>1004</xdr:row>
      <xdr:rowOff>134008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359DDF10-E230-4899-90D7-9A591AB75AB5}"/>
            </a:ext>
          </a:extLst>
        </xdr:cNvPr>
        <xdr:cNvGrpSpPr/>
      </xdr:nvGrpSpPr>
      <xdr:grpSpPr>
        <a:xfrm>
          <a:off x="282202" y="249153269"/>
          <a:ext cx="2219325" cy="472239"/>
          <a:chOff x="10465733" y="235697"/>
          <a:chExt cx="2241550" cy="459539"/>
        </a:xfrm>
      </xdr:grpSpPr>
      <xdr:pic>
        <xdr:nvPicPr>
          <xdr:cNvPr id="11" name="Imagem 10" descr="brasao do cemig">
            <a:extLst>
              <a:ext uri="{FF2B5EF4-FFF2-40B4-BE49-F238E27FC236}">
                <a16:creationId xmlns:a16="http://schemas.microsoft.com/office/drawing/2014/main" id="{C68A3198-E60E-3E1D-CC12-12D01EFE32D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7BEC98D-F267-B206-45FB-ED02DC491E4A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3" name="Conector reto 12">
            <a:extLst>
              <a:ext uri="{FF2B5EF4-FFF2-40B4-BE49-F238E27FC236}">
                <a16:creationId xmlns:a16="http://schemas.microsoft.com/office/drawing/2014/main" id="{252F9761-4429-88D1-5EC4-5A96517BFEB1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104775</xdr:colOff>
      <xdr:row>2002</xdr:row>
      <xdr:rowOff>142875</xdr:rowOff>
    </xdr:from>
    <xdr:to>
      <xdr:col>1</xdr:col>
      <xdr:colOff>2320925</xdr:colOff>
      <xdr:row>2004</xdr:row>
      <xdr:rowOff>132514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7769D2F3-D00B-495C-BE55-14E792122D81}"/>
            </a:ext>
          </a:extLst>
        </xdr:cNvPr>
        <xdr:cNvGrpSpPr/>
      </xdr:nvGrpSpPr>
      <xdr:grpSpPr>
        <a:xfrm>
          <a:off x="282575" y="491937675"/>
          <a:ext cx="2216150" cy="472239"/>
          <a:chOff x="10465733" y="235697"/>
          <a:chExt cx="2241550" cy="459539"/>
        </a:xfrm>
      </xdr:grpSpPr>
      <xdr:pic>
        <xdr:nvPicPr>
          <xdr:cNvPr id="20" name="Imagem 19" descr="brasao do cemig">
            <a:extLst>
              <a:ext uri="{FF2B5EF4-FFF2-40B4-BE49-F238E27FC236}">
                <a16:creationId xmlns:a16="http://schemas.microsoft.com/office/drawing/2014/main" id="{1B6E43EE-3C9F-D725-6EBB-75A6D1663C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1" name="CaixaDeTexto 20">
            <a:extLst>
              <a:ext uri="{FF2B5EF4-FFF2-40B4-BE49-F238E27FC236}">
                <a16:creationId xmlns:a16="http://schemas.microsoft.com/office/drawing/2014/main" id="{FBBB3C9A-78C9-37B5-4440-72428C6C62EE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22" name="Conector reto 21">
            <a:extLst>
              <a:ext uri="{FF2B5EF4-FFF2-40B4-BE49-F238E27FC236}">
                <a16:creationId xmlns:a16="http://schemas.microsoft.com/office/drawing/2014/main" id="{3D7E081B-C0E5-57AD-33C9-B7CA6087386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104027</xdr:colOff>
      <xdr:row>0</xdr:row>
      <xdr:rowOff>142128</xdr:rowOff>
    </xdr:from>
    <xdr:to>
      <xdr:col>3</xdr:col>
      <xdr:colOff>296641</xdr:colOff>
      <xdr:row>2</xdr:row>
      <xdr:rowOff>169878</xdr:rowOff>
    </xdr:to>
    <xdr:sp macro="" textlink="">
      <xdr:nvSpPr>
        <xdr:cNvPr id="28" name="Retângulo: Cantos Arredondados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5B9F37-4ADF-4C5E-8FDC-7A6BCD98E650}"/>
            </a:ext>
          </a:extLst>
        </xdr:cNvPr>
        <xdr:cNvSpPr/>
      </xdr:nvSpPr>
      <xdr:spPr>
        <a:xfrm>
          <a:off x="5314202" y="142128"/>
          <a:ext cx="1211789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3</xdr:col>
      <xdr:colOff>352050</xdr:colOff>
      <xdr:row>0</xdr:row>
      <xdr:rowOff>142128</xdr:rowOff>
    </xdr:from>
    <xdr:to>
      <xdr:col>4</xdr:col>
      <xdr:colOff>525615</xdr:colOff>
      <xdr:row>2</xdr:row>
      <xdr:rowOff>169878</xdr:rowOff>
    </xdr:to>
    <xdr:sp macro="" textlink="">
      <xdr:nvSpPr>
        <xdr:cNvPr id="29" name="Retângulo: Cantos Arredondados 2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E070C69-C256-4ADF-B421-393723E7457B}"/>
            </a:ext>
          </a:extLst>
        </xdr:cNvPr>
        <xdr:cNvSpPr/>
      </xdr:nvSpPr>
      <xdr:spPr>
        <a:xfrm>
          <a:off x="6581400" y="142128"/>
          <a:ext cx="119274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4</xdr:col>
      <xdr:colOff>581024</xdr:colOff>
      <xdr:row>0</xdr:row>
      <xdr:rowOff>142128</xdr:rowOff>
    </xdr:from>
    <xdr:to>
      <xdr:col>6</xdr:col>
      <xdr:colOff>380474</xdr:colOff>
      <xdr:row>2</xdr:row>
      <xdr:rowOff>169878</xdr:rowOff>
    </xdr:to>
    <xdr:sp macro="" textlink="">
      <xdr:nvSpPr>
        <xdr:cNvPr id="30" name="Retângulo: Cantos Arredondados 2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9BA55C4-AD3D-45F4-8D94-67114CC5B9DB}"/>
            </a:ext>
          </a:extLst>
        </xdr:cNvPr>
        <xdr:cNvSpPr/>
      </xdr:nvSpPr>
      <xdr:spPr>
        <a:xfrm>
          <a:off x="7505699" y="142128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2</xdr:col>
      <xdr:colOff>105684</xdr:colOff>
      <xdr:row>1002</xdr:row>
      <xdr:rowOff>134471</xdr:rowOff>
    </xdr:from>
    <xdr:to>
      <xdr:col>3</xdr:col>
      <xdr:colOff>298298</xdr:colOff>
      <xdr:row>1004</xdr:row>
      <xdr:rowOff>164649</xdr:rowOff>
    </xdr:to>
    <xdr:sp macro="" textlink="">
      <xdr:nvSpPr>
        <xdr:cNvPr id="33" name="Retângulo: Cantos Arredondados 3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5642A10-5825-4F28-AF4F-B8B59CE7EEB0}"/>
            </a:ext>
          </a:extLst>
        </xdr:cNvPr>
        <xdr:cNvSpPr/>
      </xdr:nvSpPr>
      <xdr:spPr>
        <a:xfrm>
          <a:off x="5316419" y="241867765"/>
          <a:ext cx="1212350" cy="5008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3</xdr:col>
      <xdr:colOff>356882</xdr:colOff>
      <xdr:row>1002</xdr:row>
      <xdr:rowOff>134471</xdr:rowOff>
    </xdr:from>
    <xdr:to>
      <xdr:col>4</xdr:col>
      <xdr:colOff>530447</xdr:colOff>
      <xdr:row>1004</xdr:row>
      <xdr:rowOff>161474</xdr:rowOff>
    </xdr:to>
    <xdr:sp macro="" textlink="">
      <xdr:nvSpPr>
        <xdr:cNvPr id="34" name="Retângulo: Cantos Arredondados 3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27836C6-2EDB-4FC0-A8F5-3A4812EB8623}"/>
            </a:ext>
          </a:extLst>
        </xdr:cNvPr>
        <xdr:cNvSpPr/>
      </xdr:nvSpPr>
      <xdr:spPr>
        <a:xfrm>
          <a:off x="6587353" y="241016118"/>
          <a:ext cx="1193300" cy="4976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4</xdr:col>
      <xdr:colOff>582681</xdr:colOff>
      <xdr:row>1002</xdr:row>
      <xdr:rowOff>134471</xdr:rowOff>
    </xdr:from>
    <xdr:to>
      <xdr:col>6</xdr:col>
      <xdr:colOff>359184</xdr:colOff>
      <xdr:row>1004</xdr:row>
      <xdr:rowOff>161474</xdr:rowOff>
    </xdr:to>
    <xdr:sp macro="" textlink="">
      <xdr:nvSpPr>
        <xdr:cNvPr id="35" name="Retângulo: Cantos Arredondados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49EC93-B556-4002-9F92-6832497DBF6F}"/>
            </a:ext>
          </a:extLst>
        </xdr:cNvPr>
        <xdr:cNvSpPr/>
      </xdr:nvSpPr>
      <xdr:spPr>
        <a:xfrm>
          <a:off x="7832887" y="241016118"/>
          <a:ext cx="1199650" cy="4976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2</xdr:col>
      <xdr:colOff>225773</xdr:colOff>
      <xdr:row>2002</xdr:row>
      <xdr:rowOff>134470</xdr:rowOff>
    </xdr:from>
    <xdr:to>
      <xdr:col>3</xdr:col>
      <xdr:colOff>421562</xdr:colOff>
      <xdr:row>2004</xdr:row>
      <xdr:rowOff>164648</xdr:rowOff>
    </xdr:to>
    <xdr:sp macro="" textlink="">
      <xdr:nvSpPr>
        <xdr:cNvPr id="38" name="Retângulo: Cantos Arredondados 3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90EBB41-94E6-4079-8A1B-F319BA1C728B}"/>
            </a:ext>
          </a:extLst>
        </xdr:cNvPr>
        <xdr:cNvSpPr/>
      </xdr:nvSpPr>
      <xdr:spPr>
        <a:xfrm>
          <a:off x="5436508" y="478603235"/>
          <a:ext cx="1215525" cy="5008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3</xdr:col>
      <xdr:colOff>470621</xdr:colOff>
      <xdr:row>2002</xdr:row>
      <xdr:rowOff>134470</xdr:rowOff>
    </xdr:from>
    <xdr:to>
      <xdr:col>4</xdr:col>
      <xdr:colOff>660061</xdr:colOff>
      <xdr:row>2004</xdr:row>
      <xdr:rowOff>161473</xdr:rowOff>
    </xdr:to>
    <xdr:sp macro="" textlink="">
      <xdr:nvSpPr>
        <xdr:cNvPr id="39" name="Retângulo: Cantos Arredondados 3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E0F9E23-C8ED-4AB4-9398-D680D39921BA}"/>
            </a:ext>
          </a:extLst>
        </xdr:cNvPr>
        <xdr:cNvSpPr/>
      </xdr:nvSpPr>
      <xdr:spPr>
        <a:xfrm>
          <a:off x="6701092" y="477751588"/>
          <a:ext cx="1209175" cy="4976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4</xdr:col>
      <xdr:colOff>702770</xdr:colOff>
      <xdr:row>2002</xdr:row>
      <xdr:rowOff>134470</xdr:rowOff>
    </xdr:from>
    <xdr:to>
      <xdr:col>6</xdr:col>
      <xdr:colOff>479273</xdr:colOff>
      <xdr:row>2004</xdr:row>
      <xdr:rowOff>161473</xdr:rowOff>
    </xdr:to>
    <xdr:sp macro="" textlink="">
      <xdr:nvSpPr>
        <xdr:cNvPr id="40" name="Retângulo: Cantos Arredondados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B94E451-2368-4162-B59A-0A9207B232F2}"/>
            </a:ext>
          </a:extLst>
        </xdr:cNvPr>
        <xdr:cNvSpPr/>
      </xdr:nvSpPr>
      <xdr:spPr>
        <a:xfrm>
          <a:off x="7952976" y="477751588"/>
          <a:ext cx="1199650" cy="4976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66</xdr:col>
      <xdr:colOff>0</xdr:colOff>
      <xdr:row>366</xdr:row>
      <xdr:rowOff>333001</xdr:rowOff>
    </xdr:from>
    <xdr:to>
      <xdr:col>66</xdr:col>
      <xdr:colOff>1095875</xdr:colOff>
      <xdr:row>367</xdr:row>
      <xdr:rowOff>391941</xdr:rowOff>
    </xdr:to>
    <xdr:sp macro="" textlink="">
      <xdr:nvSpPr>
        <xdr:cNvPr id="49" name="Retângulo: Cantos Arredondados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B5318-CE02-4BCA-BEB8-3B8D7146425D}"/>
            </a:ext>
          </a:extLst>
        </xdr:cNvPr>
        <xdr:cNvSpPr/>
      </xdr:nvSpPr>
      <xdr:spPr>
        <a:xfrm>
          <a:off x="51082575" y="92525476"/>
          <a:ext cx="1095875" cy="50661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66</xdr:col>
      <xdr:colOff>0</xdr:colOff>
      <xdr:row>286</xdr:row>
      <xdr:rowOff>333002</xdr:rowOff>
    </xdr:from>
    <xdr:to>
      <xdr:col>66</xdr:col>
      <xdr:colOff>1095875</xdr:colOff>
      <xdr:row>287</xdr:row>
      <xdr:rowOff>382416</xdr:rowOff>
    </xdr:to>
    <xdr:sp macro="" textlink="">
      <xdr:nvSpPr>
        <xdr:cNvPr id="53" name="Retângulo: Cantos Arredondados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9E866-DE32-4F9A-AAB6-9340A6382EDE}"/>
            </a:ext>
          </a:extLst>
        </xdr:cNvPr>
        <xdr:cNvSpPr/>
      </xdr:nvSpPr>
      <xdr:spPr>
        <a:xfrm>
          <a:off x="51082575" y="71941952"/>
          <a:ext cx="1095875" cy="49708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66</xdr:col>
      <xdr:colOff>2420470</xdr:colOff>
      <xdr:row>197</xdr:row>
      <xdr:rowOff>145677</xdr:rowOff>
    </xdr:from>
    <xdr:to>
      <xdr:col>66</xdr:col>
      <xdr:colOff>3629645</xdr:colOff>
      <xdr:row>199</xdr:row>
      <xdr:rowOff>182205</xdr:rowOff>
    </xdr:to>
    <xdr:sp macro="" textlink="">
      <xdr:nvSpPr>
        <xdr:cNvPr id="57" name="Retângulo: Cantos Arredondados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4AEAC9-5AF2-42BC-8535-2F0B066D99B5}"/>
            </a:ext>
          </a:extLst>
        </xdr:cNvPr>
        <xdr:cNvSpPr/>
      </xdr:nvSpPr>
      <xdr:spPr>
        <a:xfrm>
          <a:off x="53503045" y="48675552"/>
          <a:ext cx="1209175" cy="512778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2420471</xdr:colOff>
      <xdr:row>1002</xdr:row>
      <xdr:rowOff>134471</xdr:rowOff>
    </xdr:from>
    <xdr:to>
      <xdr:col>1</xdr:col>
      <xdr:colOff>3487771</xdr:colOff>
      <xdr:row>1004</xdr:row>
      <xdr:rowOff>161474</xdr:rowOff>
    </xdr:to>
    <xdr:sp macro="" textlink="">
      <xdr:nvSpPr>
        <xdr:cNvPr id="61" name="Retângulo: Cantos Arredondados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E94B0-79B3-4C6B-A4E3-117C7D68262C}"/>
            </a:ext>
          </a:extLst>
        </xdr:cNvPr>
        <xdr:cNvSpPr/>
      </xdr:nvSpPr>
      <xdr:spPr>
        <a:xfrm>
          <a:off x="2588559" y="241867765"/>
          <a:ext cx="1067300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3535347</xdr:colOff>
      <xdr:row>1002</xdr:row>
      <xdr:rowOff>134471</xdr:rowOff>
    </xdr:from>
    <xdr:to>
      <xdr:col>1</xdr:col>
      <xdr:colOff>4867347</xdr:colOff>
      <xdr:row>1004</xdr:row>
      <xdr:rowOff>164649</xdr:rowOff>
    </xdr:to>
    <xdr:sp macro="" textlink="">
      <xdr:nvSpPr>
        <xdr:cNvPr id="62" name="Retângulo: Cantos Arredondados 6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31D8ED-E661-4B24-854C-B15E85F07994}"/>
            </a:ext>
          </a:extLst>
        </xdr:cNvPr>
        <xdr:cNvSpPr/>
      </xdr:nvSpPr>
      <xdr:spPr>
        <a:xfrm>
          <a:off x="3706797" y="245784221"/>
          <a:ext cx="1332000" cy="506428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>
    <xdr:from>
      <xdr:col>1</xdr:col>
      <xdr:colOff>2450914</xdr:colOff>
      <xdr:row>2002</xdr:row>
      <xdr:rowOff>134470</xdr:rowOff>
    </xdr:from>
    <xdr:to>
      <xdr:col>1</xdr:col>
      <xdr:colOff>3521389</xdr:colOff>
      <xdr:row>2004</xdr:row>
      <xdr:rowOff>161473</xdr:rowOff>
    </xdr:to>
    <xdr:sp macro="" textlink="">
      <xdr:nvSpPr>
        <xdr:cNvPr id="63" name="Retângulo: Cantos Arredondados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D5521-1AD2-451F-A94C-ABA2869C77C4}"/>
            </a:ext>
          </a:extLst>
        </xdr:cNvPr>
        <xdr:cNvSpPr/>
      </xdr:nvSpPr>
      <xdr:spPr>
        <a:xfrm>
          <a:off x="2619002" y="478603235"/>
          <a:ext cx="1070475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3568966</xdr:colOff>
      <xdr:row>2002</xdr:row>
      <xdr:rowOff>134470</xdr:rowOff>
    </xdr:from>
    <xdr:to>
      <xdr:col>1</xdr:col>
      <xdr:colOff>4900966</xdr:colOff>
      <xdr:row>2004</xdr:row>
      <xdr:rowOff>164648</xdr:rowOff>
    </xdr:to>
    <xdr:sp macro="" textlink="">
      <xdr:nvSpPr>
        <xdr:cNvPr id="64" name="Retângulo: Cantos Arredondados 6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F58454B-B6BF-4FEB-9C7D-4B3F55963056}"/>
            </a:ext>
          </a:extLst>
        </xdr:cNvPr>
        <xdr:cNvSpPr/>
      </xdr:nvSpPr>
      <xdr:spPr>
        <a:xfrm>
          <a:off x="3740416" y="485509420"/>
          <a:ext cx="1332000" cy="506428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 editAs="oneCell">
    <xdr:from>
      <xdr:col>66</xdr:col>
      <xdr:colOff>4733924</xdr:colOff>
      <xdr:row>197</xdr:row>
      <xdr:rowOff>142502</xdr:rowOff>
    </xdr:from>
    <xdr:to>
      <xdr:col>67</xdr:col>
      <xdr:colOff>1011224</xdr:colOff>
      <xdr:row>199</xdr:row>
      <xdr:rowOff>183886</xdr:rowOff>
    </xdr:to>
    <xdr:sp macro="" textlink="">
      <xdr:nvSpPr>
        <xdr:cNvPr id="3" name="Retângulo: Cantos Arredondados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1937826-93E3-4469-8815-436F45172341}"/>
            </a:ext>
          </a:extLst>
        </xdr:cNvPr>
        <xdr:cNvSpPr/>
      </xdr:nvSpPr>
      <xdr:spPr>
        <a:xfrm>
          <a:off x="56902349" y="48605702"/>
          <a:ext cx="1116000" cy="5176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67</xdr:col>
      <xdr:colOff>1065316</xdr:colOff>
      <xdr:row>197</xdr:row>
      <xdr:rowOff>142502</xdr:rowOff>
    </xdr:from>
    <xdr:to>
      <xdr:col>68</xdr:col>
      <xdr:colOff>803906</xdr:colOff>
      <xdr:row>199</xdr:row>
      <xdr:rowOff>183886</xdr:rowOff>
    </xdr:to>
    <xdr:sp macro="" textlink="">
      <xdr:nvSpPr>
        <xdr:cNvPr id="4" name="Retângulo: Cantos Arredondados 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A396ED3-CEB5-4A6F-9911-97D67ABFE891}"/>
            </a:ext>
          </a:extLst>
        </xdr:cNvPr>
        <xdr:cNvSpPr/>
      </xdr:nvSpPr>
      <xdr:spPr>
        <a:xfrm>
          <a:off x="58072441" y="48605702"/>
          <a:ext cx="1110190" cy="5176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68</xdr:col>
      <xdr:colOff>857997</xdr:colOff>
      <xdr:row>197</xdr:row>
      <xdr:rowOff>142502</xdr:rowOff>
    </xdr:from>
    <xdr:to>
      <xdr:col>69</xdr:col>
      <xdr:colOff>602751</xdr:colOff>
      <xdr:row>199</xdr:row>
      <xdr:rowOff>183886</xdr:rowOff>
    </xdr:to>
    <xdr:sp macro="" textlink="">
      <xdr:nvSpPr>
        <xdr:cNvPr id="18" name="Retângulo: Cantos Arredondados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CCB756-CDB3-4D35-940B-0EE467116F2F}"/>
            </a:ext>
          </a:extLst>
        </xdr:cNvPr>
        <xdr:cNvSpPr/>
      </xdr:nvSpPr>
      <xdr:spPr>
        <a:xfrm>
          <a:off x="57528572" y="48675552"/>
          <a:ext cx="1195728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66</xdr:col>
      <xdr:colOff>1371600</xdr:colOff>
      <xdr:row>286</xdr:row>
      <xdr:rowOff>333002</xdr:rowOff>
    </xdr:from>
    <xdr:to>
      <xdr:col>66</xdr:col>
      <xdr:colOff>2583389</xdr:colOff>
      <xdr:row>287</xdr:row>
      <xdr:rowOff>390261</xdr:rowOff>
    </xdr:to>
    <xdr:sp macro="" textlink="">
      <xdr:nvSpPr>
        <xdr:cNvPr id="23" name="Retângulo: Cantos Arredondados 2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49DBA79-AB6B-4C7E-9671-74A22D9C0C59}"/>
            </a:ext>
          </a:extLst>
        </xdr:cNvPr>
        <xdr:cNvSpPr/>
      </xdr:nvSpPr>
      <xdr:spPr>
        <a:xfrm>
          <a:off x="52454175" y="71941952"/>
          <a:ext cx="1211789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66</xdr:col>
      <xdr:colOff>2640386</xdr:colOff>
      <xdr:row>286</xdr:row>
      <xdr:rowOff>336177</xdr:rowOff>
    </xdr:from>
    <xdr:to>
      <xdr:col>66</xdr:col>
      <xdr:colOff>3826776</xdr:colOff>
      <xdr:row>287</xdr:row>
      <xdr:rowOff>393436</xdr:rowOff>
    </xdr:to>
    <xdr:sp macro="" textlink="">
      <xdr:nvSpPr>
        <xdr:cNvPr id="24" name="Retângulo: Cantos Arredondados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8AA14C3-77D4-4823-A5F9-3B3E27914B88}"/>
            </a:ext>
          </a:extLst>
        </xdr:cNvPr>
        <xdr:cNvSpPr/>
      </xdr:nvSpPr>
      <xdr:spPr>
        <a:xfrm>
          <a:off x="53722961" y="71945127"/>
          <a:ext cx="118639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66</xdr:col>
      <xdr:colOff>3886947</xdr:colOff>
      <xdr:row>286</xdr:row>
      <xdr:rowOff>333002</xdr:rowOff>
    </xdr:from>
    <xdr:to>
      <xdr:col>67</xdr:col>
      <xdr:colOff>236247</xdr:colOff>
      <xdr:row>287</xdr:row>
      <xdr:rowOff>390261</xdr:rowOff>
    </xdr:to>
    <xdr:sp macro="" textlink="">
      <xdr:nvSpPr>
        <xdr:cNvPr id="25" name="Retângulo: Cantos Arredondados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C6F99F1-A2BE-441A-8502-C0223CBFCD2D}"/>
            </a:ext>
          </a:extLst>
        </xdr:cNvPr>
        <xdr:cNvSpPr/>
      </xdr:nvSpPr>
      <xdr:spPr>
        <a:xfrm>
          <a:off x="56055372" y="71741927"/>
          <a:ext cx="1188000" cy="4954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66</xdr:col>
      <xdr:colOff>1397000</xdr:colOff>
      <xdr:row>366</xdr:row>
      <xdr:rowOff>333001</xdr:rowOff>
    </xdr:from>
    <xdr:to>
      <xdr:col>66</xdr:col>
      <xdr:colOff>2611964</xdr:colOff>
      <xdr:row>367</xdr:row>
      <xdr:rowOff>393435</xdr:rowOff>
    </xdr:to>
    <xdr:sp macro="" textlink="">
      <xdr:nvSpPr>
        <xdr:cNvPr id="32" name="Retângulo: Cantos Arredondados 3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20551CB-07FF-4AC6-8512-D3EEDF3E4E70}"/>
            </a:ext>
          </a:extLst>
        </xdr:cNvPr>
        <xdr:cNvSpPr/>
      </xdr:nvSpPr>
      <xdr:spPr>
        <a:xfrm>
          <a:off x="52479575" y="92525476"/>
          <a:ext cx="1214964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66</xdr:col>
      <xdr:colOff>2664198</xdr:colOff>
      <xdr:row>366</xdr:row>
      <xdr:rowOff>333001</xdr:rowOff>
    </xdr:from>
    <xdr:to>
      <xdr:col>66</xdr:col>
      <xdr:colOff>3850588</xdr:colOff>
      <xdr:row>367</xdr:row>
      <xdr:rowOff>393435</xdr:rowOff>
    </xdr:to>
    <xdr:sp macro="" textlink="">
      <xdr:nvSpPr>
        <xdr:cNvPr id="36" name="Retângulo: Cantos Arredondados 3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B82E0B5-38EE-4D4B-B704-BE7C0F919965}"/>
            </a:ext>
          </a:extLst>
        </xdr:cNvPr>
        <xdr:cNvSpPr/>
      </xdr:nvSpPr>
      <xdr:spPr>
        <a:xfrm>
          <a:off x="53746773" y="92525476"/>
          <a:ext cx="1186390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66</xdr:col>
      <xdr:colOff>3912346</xdr:colOff>
      <xdr:row>366</xdr:row>
      <xdr:rowOff>333001</xdr:rowOff>
    </xdr:from>
    <xdr:to>
      <xdr:col>67</xdr:col>
      <xdr:colOff>261646</xdr:colOff>
      <xdr:row>367</xdr:row>
      <xdr:rowOff>393435</xdr:rowOff>
    </xdr:to>
    <xdr:sp macro="" textlink="">
      <xdr:nvSpPr>
        <xdr:cNvPr id="37" name="Retângulo: Cantos Arredondados 3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8151F50-467C-4631-A96A-CAC7727E6EFD}"/>
            </a:ext>
          </a:extLst>
        </xdr:cNvPr>
        <xdr:cNvSpPr/>
      </xdr:nvSpPr>
      <xdr:spPr>
        <a:xfrm>
          <a:off x="56080771" y="92687401"/>
          <a:ext cx="1188000" cy="49858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85164</xdr:colOff>
      <xdr:row>0</xdr:row>
      <xdr:rowOff>141941</xdr:rowOff>
    </xdr:from>
    <xdr:to>
      <xdr:col>1</xdr:col>
      <xdr:colOff>2304489</xdr:colOff>
      <xdr:row>2</xdr:row>
      <xdr:rowOff>141105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692C588-235B-48E9-AA0F-5623178CCB6E}"/>
            </a:ext>
          </a:extLst>
        </xdr:cNvPr>
        <xdr:cNvGrpSpPr/>
      </xdr:nvGrpSpPr>
      <xdr:grpSpPr>
        <a:xfrm>
          <a:off x="262964" y="141941"/>
          <a:ext cx="2219325" cy="481764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167D4391-1435-78FC-E2CC-74EA3F6AAD9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4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093EE1E9-F016-4F0D-A569-DF2CF99D91A5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D4B05CFD-A589-07BA-664B-E92A27D99E72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69</xdr:col>
      <xdr:colOff>76200</xdr:colOff>
      <xdr:row>250</xdr:row>
      <xdr:rowOff>158750</xdr:rowOff>
    </xdr:from>
    <xdr:to>
      <xdr:col>69</xdr:col>
      <xdr:colOff>2295525</xdr:colOff>
      <xdr:row>252</xdr:row>
      <xdr:rowOff>154739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987DAB3A-39FF-433D-8369-DA2768092B9E}"/>
            </a:ext>
          </a:extLst>
        </xdr:cNvPr>
        <xdr:cNvGrpSpPr/>
      </xdr:nvGrpSpPr>
      <xdr:grpSpPr>
        <a:xfrm>
          <a:off x="52400200" y="63353950"/>
          <a:ext cx="2219325" cy="478589"/>
          <a:chOff x="10465733" y="235697"/>
          <a:chExt cx="2241550" cy="459539"/>
        </a:xfrm>
      </xdr:grpSpPr>
      <xdr:pic>
        <xdr:nvPicPr>
          <xdr:cNvPr id="22" name="Imagem 21" descr="brasao do cemig">
            <a:extLst>
              <a:ext uri="{FF2B5EF4-FFF2-40B4-BE49-F238E27FC236}">
                <a16:creationId xmlns:a16="http://schemas.microsoft.com/office/drawing/2014/main" id="{F830A966-9965-E0F4-BB7D-5462424D5DD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4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6" name="CaixaDeTexto 25">
            <a:extLst>
              <a:ext uri="{FF2B5EF4-FFF2-40B4-BE49-F238E27FC236}">
                <a16:creationId xmlns:a16="http://schemas.microsoft.com/office/drawing/2014/main" id="{3C322C7E-07E2-C7C0-00CA-13CBA08B2E5C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27" name="Conector reto 26">
            <a:extLst>
              <a:ext uri="{FF2B5EF4-FFF2-40B4-BE49-F238E27FC236}">
                <a16:creationId xmlns:a16="http://schemas.microsoft.com/office/drawing/2014/main" id="{7FC02134-8327-97A4-5D27-86747A8A0948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104214</xdr:colOff>
      <xdr:row>1010</xdr:row>
      <xdr:rowOff>171076</xdr:rowOff>
    </xdr:from>
    <xdr:to>
      <xdr:col>1</xdr:col>
      <xdr:colOff>2317189</xdr:colOff>
      <xdr:row>1012</xdr:row>
      <xdr:rowOff>151003</xdr:rowOff>
    </xdr:to>
    <xdr:grpSp>
      <xdr:nvGrpSpPr>
        <xdr:cNvPr id="7" name="Agrupar 6">
          <a:extLst>
            <a:ext uri="{FF2B5EF4-FFF2-40B4-BE49-F238E27FC236}">
              <a16:creationId xmlns:a16="http://schemas.microsoft.com/office/drawing/2014/main" id="{D06A8187-04A7-4899-9576-1E83788D4785}"/>
            </a:ext>
          </a:extLst>
        </xdr:cNvPr>
        <xdr:cNvGrpSpPr/>
      </xdr:nvGrpSpPr>
      <xdr:grpSpPr>
        <a:xfrm>
          <a:off x="282014" y="249294276"/>
          <a:ext cx="2212975" cy="462527"/>
          <a:chOff x="10465733" y="235697"/>
          <a:chExt cx="2241550" cy="459539"/>
        </a:xfrm>
      </xdr:grpSpPr>
      <xdr:pic>
        <xdr:nvPicPr>
          <xdr:cNvPr id="8" name="Imagem 7" descr="brasao do cemig">
            <a:extLst>
              <a:ext uri="{FF2B5EF4-FFF2-40B4-BE49-F238E27FC236}">
                <a16:creationId xmlns:a16="http://schemas.microsoft.com/office/drawing/2014/main" id="{01B81ACB-14DC-9EAD-9CC4-6C2BDB9A9BD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4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5B4BC29B-BDB9-F123-7B4B-9A9CCA8B64B6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4" name="Conector reto 13">
            <a:extLst>
              <a:ext uri="{FF2B5EF4-FFF2-40B4-BE49-F238E27FC236}">
                <a16:creationId xmlns:a16="http://schemas.microsoft.com/office/drawing/2014/main" id="{40E2D5D5-97B0-A825-EF1F-6A6E64080D65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3124200</xdr:colOff>
      <xdr:row>0</xdr:row>
      <xdr:rowOff>149225</xdr:rowOff>
    </xdr:from>
    <xdr:to>
      <xdr:col>1</xdr:col>
      <xdr:colOff>4191500</xdr:colOff>
      <xdr:row>2</xdr:row>
      <xdr:rowOff>177909</xdr:rowOff>
    </xdr:to>
    <xdr:sp macro="" textlink="">
      <xdr:nvSpPr>
        <xdr:cNvPr id="15" name="Retângulo: Cantos Arredondados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C4F778-9018-4396-9E80-8F6A03B7E84D}"/>
            </a:ext>
          </a:extLst>
        </xdr:cNvPr>
        <xdr:cNvSpPr/>
      </xdr:nvSpPr>
      <xdr:spPr>
        <a:xfrm>
          <a:off x="3295650" y="149225"/>
          <a:ext cx="1067300" cy="504934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4239077</xdr:colOff>
      <xdr:row>0</xdr:row>
      <xdr:rowOff>149225</xdr:rowOff>
    </xdr:from>
    <xdr:to>
      <xdr:col>1</xdr:col>
      <xdr:colOff>5574252</xdr:colOff>
      <xdr:row>2</xdr:row>
      <xdr:rowOff>174734</xdr:rowOff>
    </xdr:to>
    <xdr:sp macro="" textlink="">
      <xdr:nvSpPr>
        <xdr:cNvPr id="9" name="Retângulo: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83565E-A8A1-4548-A450-147B6CEF2236}"/>
            </a:ext>
          </a:extLst>
        </xdr:cNvPr>
        <xdr:cNvSpPr/>
      </xdr:nvSpPr>
      <xdr:spPr>
        <a:xfrm>
          <a:off x="4410527" y="149225"/>
          <a:ext cx="1335175" cy="50175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 editAs="oneCell">
    <xdr:from>
      <xdr:col>1</xdr:col>
      <xdr:colOff>5668548</xdr:colOff>
      <xdr:row>0</xdr:row>
      <xdr:rowOff>149225</xdr:rowOff>
    </xdr:from>
    <xdr:to>
      <xdr:col>2</xdr:col>
      <xdr:colOff>381648</xdr:colOff>
      <xdr:row>2</xdr:row>
      <xdr:rowOff>181084</xdr:rowOff>
    </xdr:to>
    <xdr:sp macro="" textlink="">
      <xdr:nvSpPr>
        <xdr:cNvPr id="28" name="Retângulo: Cantos Arredondados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DD13DE-6352-4BCD-90C0-71DF8530344C}"/>
            </a:ext>
          </a:extLst>
        </xdr:cNvPr>
        <xdr:cNvSpPr/>
      </xdr:nvSpPr>
      <xdr:spPr>
        <a:xfrm>
          <a:off x="5839998" y="149225"/>
          <a:ext cx="1152000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2</xdr:col>
      <xdr:colOff>430172</xdr:colOff>
      <xdr:row>0</xdr:row>
      <xdr:rowOff>149225</xdr:rowOff>
    </xdr:from>
    <xdr:to>
      <xdr:col>3</xdr:col>
      <xdr:colOff>201047</xdr:colOff>
      <xdr:row>2</xdr:row>
      <xdr:rowOff>181084</xdr:rowOff>
    </xdr:to>
    <xdr:sp macro="" textlink="">
      <xdr:nvSpPr>
        <xdr:cNvPr id="29" name="Retângulo: Cantos Arredondados 2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A46E7A-DFF8-436D-8B04-E73A48427C6A}"/>
            </a:ext>
          </a:extLst>
        </xdr:cNvPr>
        <xdr:cNvSpPr/>
      </xdr:nvSpPr>
      <xdr:spPr>
        <a:xfrm>
          <a:off x="7040522" y="149225"/>
          <a:ext cx="1152000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3</xdr:col>
      <xdr:colOff>249571</xdr:colOff>
      <xdr:row>0</xdr:row>
      <xdr:rowOff>149225</xdr:rowOff>
    </xdr:from>
    <xdr:to>
      <xdr:col>4</xdr:col>
      <xdr:colOff>20446</xdr:colOff>
      <xdr:row>2</xdr:row>
      <xdr:rowOff>181084</xdr:rowOff>
    </xdr:to>
    <xdr:sp macro="" textlink="">
      <xdr:nvSpPr>
        <xdr:cNvPr id="30" name="Retângulo: Cantos Arredondados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6B32FE-BCA4-4462-AEB3-FFFA472A884A}"/>
            </a:ext>
          </a:extLst>
        </xdr:cNvPr>
        <xdr:cNvSpPr/>
      </xdr:nvSpPr>
      <xdr:spPr>
        <a:xfrm>
          <a:off x="8241046" y="149225"/>
          <a:ext cx="1152000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1</xdr:col>
      <xdr:colOff>95249</xdr:colOff>
      <xdr:row>2015</xdr:row>
      <xdr:rowOff>161924</xdr:rowOff>
    </xdr:from>
    <xdr:to>
      <xdr:col>1</xdr:col>
      <xdr:colOff>2305049</xdr:colOff>
      <xdr:row>2017</xdr:row>
      <xdr:rowOff>136747</xdr:rowOff>
    </xdr:to>
    <xdr:grpSp>
      <xdr:nvGrpSpPr>
        <xdr:cNvPr id="31" name="Agrupar 30">
          <a:extLst>
            <a:ext uri="{FF2B5EF4-FFF2-40B4-BE49-F238E27FC236}">
              <a16:creationId xmlns:a16="http://schemas.microsoft.com/office/drawing/2014/main" id="{18DCCCC1-CB1D-4BAB-A2B2-BC7A55F4BAA0}"/>
            </a:ext>
          </a:extLst>
        </xdr:cNvPr>
        <xdr:cNvGrpSpPr/>
      </xdr:nvGrpSpPr>
      <xdr:grpSpPr>
        <a:xfrm>
          <a:off x="273049" y="494331624"/>
          <a:ext cx="2209800" cy="457423"/>
          <a:chOff x="10465733" y="235697"/>
          <a:chExt cx="2241550" cy="459539"/>
        </a:xfrm>
      </xdr:grpSpPr>
      <xdr:pic>
        <xdr:nvPicPr>
          <xdr:cNvPr id="32" name="Imagem 31" descr="brasao do cemig">
            <a:extLst>
              <a:ext uri="{FF2B5EF4-FFF2-40B4-BE49-F238E27FC236}">
                <a16:creationId xmlns:a16="http://schemas.microsoft.com/office/drawing/2014/main" id="{4DE512EE-2C57-714E-13D3-45FB976B19A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4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3" name="CaixaDeTexto 32">
            <a:extLst>
              <a:ext uri="{FF2B5EF4-FFF2-40B4-BE49-F238E27FC236}">
                <a16:creationId xmlns:a16="http://schemas.microsoft.com/office/drawing/2014/main" id="{BDD2DC71-6D93-BC48-AA2E-E151C3D1BDF0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34" name="Conector reto 33">
            <a:extLst>
              <a:ext uri="{FF2B5EF4-FFF2-40B4-BE49-F238E27FC236}">
                <a16:creationId xmlns:a16="http://schemas.microsoft.com/office/drawing/2014/main" id="{A3FFB665-CDB4-CB7F-881E-4D60BE8E98E6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3124200</xdr:colOff>
      <xdr:row>1010</xdr:row>
      <xdr:rowOff>133350</xdr:rowOff>
    </xdr:from>
    <xdr:to>
      <xdr:col>1</xdr:col>
      <xdr:colOff>4191500</xdr:colOff>
      <xdr:row>1012</xdr:row>
      <xdr:rowOff>158859</xdr:rowOff>
    </xdr:to>
    <xdr:sp macro="" textlink="">
      <xdr:nvSpPr>
        <xdr:cNvPr id="35" name="Retângulo: Cantos Arredondados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6A655C-165E-4B29-A7B5-3B6463F08D82}"/>
            </a:ext>
          </a:extLst>
        </xdr:cNvPr>
        <xdr:cNvSpPr/>
      </xdr:nvSpPr>
      <xdr:spPr>
        <a:xfrm>
          <a:off x="3295650" y="244259100"/>
          <a:ext cx="1067300" cy="50175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5601873</xdr:colOff>
      <xdr:row>1010</xdr:row>
      <xdr:rowOff>133350</xdr:rowOff>
    </xdr:from>
    <xdr:to>
      <xdr:col>2</xdr:col>
      <xdr:colOff>314973</xdr:colOff>
      <xdr:row>1012</xdr:row>
      <xdr:rowOff>168384</xdr:rowOff>
    </xdr:to>
    <xdr:sp macro="" textlink="">
      <xdr:nvSpPr>
        <xdr:cNvPr id="37" name="Retângulo: Cantos Arredondados 3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8C1392-093A-4168-92D5-85615EAC69E2}"/>
            </a:ext>
          </a:extLst>
        </xdr:cNvPr>
        <xdr:cNvSpPr/>
      </xdr:nvSpPr>
      <xdr:spPr>
        <a:xfrm>
          <a:off x="5773323" y="244259100"/>
          <a:ext cx="1152000" cy="51128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2</xdr:col>
      <xdr:colOff>395247</xdr:colOff>
      <xdr:row>1010</xdr:row>
      <xdr:rowOff>133350</xdr:rowOff>
    </xdr:from>
    <xdr:to>
      <xdr:col>3</xdr:col>
      <xdr:colOff>166122</xdr:colOff>
      <xdr:row>1012</xdr:row>
      <xdr:rowOff>168384</xdr:rowOff>
    </xdr:to>
    <xdr:sp macro="" textlink="">
      <xdr:nvSpPr>
        <xdr:cNvPr id="38" name="Retângulo: Cantos Arredondados 3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A990DBD-B6A5-4268-8E28-3871965BAC29}"/>
            </a:ext>
          </a:extLst>
        </xdr:cNvPr>
        <xdr:cNvSpPr/>
      </xdr:nvSpPr>
      <xdr:spPr>
        <a:xfrm>
          <a:off x="7005597" y="244259100"/>
          <a:ext cx="1152000" cy="51128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3</xdr:col>
      <xdr:colOff>246396</xdr:colOff>
      <xdr:row>1010</xdr:row>
      <xdr:rowOff>133350</xdr:rowOff>
    </xdr:from>
    <xdr:to>
      <xdr:col>4</xdr:col>
      <xdr:colOff>17271</xdr:colOff>
      <xdr:row>1012</xdr:row>
      <xdr:rowOff>168384</xdr:rowOff>
    </xdr:to>
    <xdr:sp macro="" textlink="">
      <xdr:nvSpPr>
        <xdr:cNvPr id="39" name="Retângulo: Cantos Arredondados 3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3ACA80-9A26-4735-8708-0B6A8A74B1D7}"/>
            </a:ext>
          </a:extLst>
        </xdr:cNvPr>
        <xdr:cNvSpPr/>
      </xdr:nvSpPr>
      <xdr:spPr>
        <a:xfrm>
          <a:off x="8237871" y="244259100"/>
          <a:ext cx="1152000" cy="51128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1</xdr:col>
      <xdr:colOff>3114675</xdr:colOff>
      <xdr:row>2015</xdr:row>
      <xdr:rowOff>142875</xdr:rowOff>
    </xdr:from>
    <xdr:to>
      <xdr:col>1</xdr:col>
      <xdr:colOff>4181975</xdr:colOff>
      <xdr:row>2017</xdr:row>
      <xdr:rowOff>171559</xdr:rowOff>
    </xdr:to>
    <xdr:sp macro="" textlink="">
      <xdr:nvSpPr>
        <xdr:cNvPr id="40" name="Retângulo: Cantos Arredondados 3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4B8292-E1DA-4FF6-B274-BFBC2B11B858}"/>
            </a:ext>
          </a:extLst>
        </xdr:cNvPr>
        <xdr:cNvSpPr/>
      </xdr:nvSpPr>
      <xdr:spPr>
        <a:xfrm>
          <a:off x="3286125" y="485108250"/>
          <a:ext cx="1067300" cy="504934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5582823</xdr:colOff>
      <xdr:row>2015</xdr:row>
      <xdr:rowOff>142875</xdr:rowOff>
    </xdr:from>
    <xdr:to>
      <xdr:col>2</xdr:col>
      <xdr:colOff>295923</xdr:colOff>
      <xdr:row>2017</xdr:row>
      <xdr:rowOff>171559</xdr:rowOff>
    </xdr:to>
    <xdr:sp macro="" textlink="">
      <xdr:nvSpPr>
        <xdr:cNvPr id="42" name="Retângulo: Cantos Arredondados 4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75EDFC-2D80-4FAA-8C5C-B0B9BF2417C6}"/>
            </a:ext>
          </a:extLst>
        </xdr:cNvPr>
        <xdr:cNvSpPr/>
      </xdr:nvSpPr>
      <xdr:spPr>
        <a:xfrm>
          <a:off x="5754273" y="48510825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2</xdr:col>
      <xdr:colOff>380959</xdr:colOff>
      <xdr:row>2015</xdr:row>
      <xdr:rowOff>142875</xdr:rowOff>
    </xdr:from>
    <xdr:to>
      <xdr:col>3</xdr:col>
      <xdr:colOff>151834</xdr:colOff>
      <xdr:row>2017</xdr:row>
      <xdr:rowOff>171559</xdr:rowOff>
    </xdr:to>
    <xdr:sp macro="" textlink="">
      <xdr:nvSpPr>
        <xdr:cNvPr id="43" name="Retângulo: Cantos Arredondados 4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AFB0F04-1D8F-4D64-910C-22EDA5AF4679}"/>
            </a:ext>
          </a:extLst>
        </xdr:cNvPr>
        <xdr:cNvSpPr/>
      </xdr:nvSpPr>
      <xdr:spPr>
        <a:xfrm>
          <a:off x="6991309" y="48510825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3</xdr:col>
      <xdr:colOff>236870</xdr:colOff>
      <xdr:row>2015</xdr:row>
      <xdr:rowOff>142875</xdr:rowOff>
    </xdr:from>
    <xdr:to>
      <xdr:col>4</xdr:col>
      <xdr:colOff>7745</xdr:colOff>
      <xdr:row>2017</xdr:row>
      <xdr:rowOff>171559</xdr:rowOff>
    </xdr:to>
    <xdr:sp macro="" textlink="">
      <xdr:nvSpPr>
        <xdr:cNvPr id="44" name="Retângulo: Cantos Arredondados 4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CD1F71-075A-4178-AD4E-601860DF8AAA}"/>
            </a:ext>
          </a:extLst>
        </xdr:cNvPr>
        <xdr:cNvSpPr/>
      </xdr:nvSpPr>
      <xdr:spPr>
        <a:xfrm>
          <a:off x="8228345" y="48510825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2438400</xdr:colOff>
      <xdr:row>250</xdr:row>
      <xdr:rowOff>152400</xdr:rowOff>
    </xdr:from>
    <xdr:to>
      <xdr:col>69</xdr:col>
      <xdr:colOff>3505700</xdr:colOff>
      <xdr:row>252</xdr:row>
      <xdr:rowOff>177909</xdr:rowOff>
    </xdr:to>
    <xdr:sp macro="" textlink="">
      <xdr:nvSpPr>
        <xdr:cNvPr id="53" name="Retângulo: Cantos Arredondados 4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C078A5-0EF9-4E06-BAB5-DE8C2F16865B}"/>
            </a:ext>
          </a:extLst>
        </xdr:cNvPr>
        <xdr:cNvSpPr/>
      </xdr:nvSpPr>
      <xdr:spPr>
        <a:xfrm>
          <a:off x="52330350" y="61207650"/>
          <a:ext cx="1067300" cy="50175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69</xdr:col>
      <xdr:colOff>4001674</xdr:colOff>
      <xdr:row>250</xdr:row>
      <xdr:rowOff>150159</xdr:rowOff>
    </xdr:from>
    <xdr:to>
      <xdr:col>69</xdr:col>
      <xdr:colOff>5153674</xdr:colOff>
      <xdr:row>252</xdr:row>
      <xdr:rowOff>177909</xdr:rowOff>
    </xdr:to>
    <xdr:sp macro="" textlink="">
      <xdr:nvSpPr>
        <xdr:cNvPr id="50" name="Retângulo: Cantos Arredondados 4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46AFB2-9BD4-4BF5-8C1B-F46583CB56F0}"/>
            </a:ext>
          </a:extLst>
        </xdr:cNvPr>
        <xdr:cNvSpPr/>
      </xdr:nvSpPr>
      <xdr:spPr>
        <a:xfrm>
          <a:off x="53893624" y="61205409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69</xdr:col>
      <xdr:colOff>5254585</xdr:colOff>
      <xdr:row>250</xdr:row>
      <xdr:rowOff>150159</xdr:rowOff>
    </xdr:from>
    <xdr:to>
      <xdr:col>69</xdr:col>
      <xdr:colOff>6406585</xdr:colOff>
      <xdr:row>252</xdr:row>
      <xdr:rowOff>177909</xdr:rowOff>
    </xdr:to>
    <xdr:sp macro="" textlink="">
      <xdr:nvSpPr>
        <xdr:cNvPr id="51" name="Retângulo: Cantos Arredondados 4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9D6ED2-8CEC-433E-9C07-D1707E82479B}"/>
            </a:ext>
          </a:extLst>
        </xdr:cNvPr>
        <xdr:cNvSpPr/>
      </xdr:nvSpPr>
      <xdr:spPr>
        <a:xfrm>
          <a:off x="55146535" y="61205409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70</xdr:col>
      <xdr:colOff>68596</xdr:colOff>
      <xdr:row>250</xdr:row>
      <xdr:rowOff>150159</xdr:rowOff>
    </xdr:from>
    <xdr:to>
      <xdr:col>70</xdr:col>
      <xdr:colOff>1220596</xdr:colOff>
      <xdr:row>252</xdr:row>
      <xdr:rowOff>177909</xdr:rowOff>
    </xdr:to>
    <xdr:sp macro="" textlink="">
      <xdr:nvSpPr>
        <xdr:cNvPr id="52" name="Retângulo: Cantos Arredondados 4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F770F2-97E3-41DF-96F6-7607E352CA0E}"/>
            </a:ext>
          </a:extLst>
        </xdr:cNvPr>
        <xdr:cNvSpPr/>
      </xdr:nvSpPr>
      <xdr:spPr>
        <a:xfrm>
          <a:off x="56399446" y="61205409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86658</xdr:colOff>
      <xdr:row>0</xdr:row>
      <xdr:rowOff>149783</xdr:rowOff>
    </xdr:from>
    <xdr:to>
      <xdr:col>1</xdr:col>
      <xdr:colOff>2302808</xdr:colOff>
      <xdr:row>2</xdr:row>
      <xdr:rowOff>141533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DEF8ACAD-B65D-4E63-8AF6-A1FFC6BCE808}"/>
            </a:ext>
          </a:extLst>
        </xdr:cNvPr>
        <xdr:cNvGrpSpPr/>
      </xdr:nvGrpSpPr>
      <xdr:grpSpPr>
        <a:xfrm>
          <a:off x="264458" y="149783"/>
          <a:ext cx="2216150" cy="474350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AC077782-055C-3F71-D752-44101576077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70B4A943-12E5-7B7D-F013-D8039FFCDB5E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7B6819D3-82AA-CE2D-BE43-00A88FFE8C09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958850</xdr:colOff>
      <xdr:row>0</xdr:row>
      <xdr:rowOff>136524</xdr:rowOff>
    </xdr:from>
    <xdr:to>
      <xdr:col>7</xdr:col>
      <xdr:colOff>933950</xdr:colOff>
      <xdr:row>2</xdr:row>
      <xdr:rowOff>180149</xdr:rowOff>
    </xdr:to>
    <xdr:sp macro="" textlink="">
      <xdr:nvSpPr>
        <xdr:cNvPr id="10" name="Retângulo: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D3AB31-5CAE-4F6D-AC44-96D1141E6575}"/>
            </a:ext>
          </a:extLst>
        </xdr:cNvPr>
        <xdr:cNvSpPr/>
      </xdr:nvSpPr>
      <xdr:spPr>
        <a:xfrm>
          <a:off x="8750300" y="203199"/>
          <a:ext cx="1070475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7</xdr:col>
      <xdr:colOff>981526</xdr:colOff>
      <xdr:row>0</xdr:row>
      <xdr:rowOff>136524</xdr:rowOff>
    </xdr:from>
    <xdr:to>
      <xdr:col>8</xdr:col>
      <xdr:colOff>1218151</xdr:colOff>
      <xdr:row>2</xdr:row>
      <xdr:rowOff>180149</xdr:rowOff>
    </xdr:to>
    <xdr:sp macro="" textlink="">
      <xdr:nvSpPr>
        <xdr:cNvPr id="11" name="Retângulo: Cantos Arredondado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9BB5C4-37AE-48E9-B895-5C81701D3ABF}"/>
            </a:ext>
          </a:extLst>
        </xdr:cNvPr>
        <xdr:cNvSpPr/>
      </xdr:nvSpPr>
      <xdr:spPr>
        <a:xfrm>
          <a:off x="9868351" y="203199"/>
          <a:ext cx="1332000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>
    <xdr:from>
      <xdr:col>54</xdr:col>
      <xdr:colOff>104775</xdr:colOff>
      <xdr:row>296</xdr:row>
      <xdr:rowOff>152400</xdr:rowOff>
    </xdr:from>
    <xdr:to>
      <xdr:col>54</xdr:col>
      <xdr:colOff>2324100</xdr:colOff>
      <xdr:row>298</xdr:row>
      <xdr:rowOff>142039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94A12E8C-1C27-4387-A41A-2E442EEFEAA7}"/>
            </a:ext>
          </a:extLst>
        </xdr:cNvPr>
        <xdr:cNvGrpSpPr/>
      </xdr:nvGrpSpPr>
      <xdr:grpSpPr>
        <a:xfrm>
          <a:off x="38630225" y="73552050"/>
          <a:ext cx="2219325" cy="472239"/>
          <a:chOff x="10465733" y="235697"/>
          <a:chExt cx="2241550" cy="459539"/>
        </a:xfrm>
      </xdr:grpSpPr>
      <xdr:pic>
        <xdr:nvPicPr>
          <xdr:cNvPr id="14" name="Imagem 13" descr="brasao do cemig">
            <a:extLst>
              <a:ext uri="{FF2B5EF4-FFF2-40B4-BE49-F238E27FC236}">
                <a16:creationId xmlns:a16="http://schemas.microsoft.com/office/drawing/2014/main" id="{6C749F18-495A-15BD-0724-0F87C4F6062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D1E8B43-62BF-EC8B-B089-70C8152EE334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6" name="Conector reto 15">
            <a:extLst>
              <a:ext uri="{FF2B5EF4-FFF2-40B4-BE49-F238E27FC236}">
                <a16:creationId xmlns:a16="http://schemas.microsoft.com/office/drawing/2014/main" id="{A99FFDEA-CB35-4259-5B69-C8B957909F9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55</xdr:col>
      <xdr:colOff>0</xdr:colOff>
      <xdr:row>296</xdr:row>
      <xdr:rowOff>139700</xdr:rowOff>
    </xdr:from>
    <xdr:to>
      <xdr:col>55</xdr:col>
      <xdr:colOff>1006975</xdr:colOff>
      <xdr:row>298</xdr:row>
      <xdr:rowOff>161100</xdr:rowOff>
    </xdr:to>
    <xdr:sp macro="" textlink="">
      <xdr:nvSpPr>
        <xdr:cNvPr id="17" name="Retângulo: Cantos Arredondados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F98373-6CE4-4C45-9BE5-96C23209601C}"/>
            </a:ext>
          </a:extLst>
        </xdr:cNvPr>
        <xdr:cNvSpPr/>
      </xdr:nvSpPr>
      <xdr:spPr>
        <a:xfrm>
          <a:off x="39243000" y="71510525"/>
          <a:ext cx="1006975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56</xdr:col>
      <xdr:colOff>38100</xdr:colOff>
      <xdr:row>296</xdr:row>
      <xdr:rowOff>139700</xdr:rowOff>
    </xdr:from>
    <xdr:to>
      <xdr:col>57</xdr:col>
      <xdr:colOff>246150</xdr:colOff>
      <xdr:row>298</xdr:row>
      <xdr:rowOff>161100</xdr:rowOff>
    </xdr:to>
    <xdr:sp macro="" textlink="">
      <xdr:nvSpPr>
        <xdr:cNvPr id="18" name="Retângulo: Cantos Arredondados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5645F3-0867-4D3A-B684-F223192C8AD0}"/>
            </a:ext>
          </a:extLst>
        </xdr:cNvPr>
        <xdr:cNvSpPr/>
      </xdr:nvSpPr>
      <xdr:spPr>
        <a:xfrm>
          <a:off x="40319325" y="71510525"/>
          <a:ext cx="1246275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RETORNO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86658</xdr:colOff>
      <xdr:row>0</xdr:row>
      <xdr:rowOff>114860</xdr:rowOff>
    </xdr:from>
    <xdr:to>
      <xdr:col>1</xdr:col>
      <xdr:colOff>2302808</xdr:colOff>
      <xdr:row>2</xdr:row>
      <xdr:rowOff>123549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3359F78-7BD0-49A4-8D9D-C4110D1472D1}"/>
            </a:ext>
          </a:extLst>
        </xdr:cNvPr>
        <xdr:cNvGrpSpPr/>
      </xdr:nvGrpSpPr>
      <xdr:grpSpPr>
        <a:xfrm>
          <a:off x="264458" y="114860"/>
          <a:ext cx="2184400" cy="465889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7419E6BB-E3C2-8379-88D7-C998F0E20E9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8EA9B35-C419-0575-38AF-F1CE82EBD70F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111F46C1-B456-BE0A-F372-2934898BD509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66</xdr:col>
      <xdr:colOff>96217</xdr:colOff>
      <xdr:row>198</xdr:row>
      <xdr:rowOff>130727</xdr:rowOff>
    </xdr:from>
    <xdr:to>
      <xdr:col>67</xdr:col>
      <xdr:colOff>41138</xdr:colOff>
      <xdr:row>200</xdr:row>
      <xdr:rowOff>164126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27710E5C-239C-4A16-8389-74ADBFE308DE}"/>
            </a:ext>
          </a:extLst>
        </xdr:cNvPr>
        <xdr:cNvGrpSpPr/>
      </xdr:nvGrpSpPr>
      <xdr:grpSpPr>
        <a:xfrm>
          <a:off x="44654167" y="46104727"/>
          <a:ext cx="2218221" cy="490599"/>
          <a:chOff x="10465733" y="235697"/>
          <a:chExt cx="2241550" cy="459539"/>
        </a:xfrm>
      </xdr:grpSpPr>
      <xdr:pic>
        <xdr:nvPicPr>
          <xdr:cNvPr id="12" name="Imagem 11" descr="brasao do cemig">
            <a:extLst>
              <a:ext uri="{FF2B5EF4-FFF2-40B4-BE49-F238E27FC236}">
                <a16:creationId xmlns:a16="http://schemas.microsoft.com/office/drawing/2014/main" id="{80324D2A-CBDA-C3D0-7E9C-B96A11F2731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168141" cy="404650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5DB2964F-9074-E20C-2DE3-95DD943A13B5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4" name="Conector reto 13">
            <a:extLst>
              <a:ext uri="{FF2B5EF4-FFF2-40B4-BE49-F238E27FC236}">
                <a16:creationId xmlns:a16="http://schemas.microsoft.com/office/drawing/2014/main" id="{AF9200B4-D7D0-F21A-CDBE-4F5B671904F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434975</xdr:colOff>
      <xdr:row>0</xdr:row>
      <xdr:rowOff>120650</xdr:rowOff>
    </xdr:from>
    <xdr:to>
      <xdr:col>4</xdr:col>
      <xdr:colOff>67175</xdr:colOff>
      <xdr:row>2</xdr:row>
      <xdr:rowOff>170625</xdr:rowOff>
    </xdr:to>
    <xdr:sp macro="" textlink="">
      <xdr:nvSpPr>
        <xdr:cNvPr id="15" name="Retângulo: Cantos Arredondados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4CAEB9-9DEA-49E7-AB48-F474D78BFE1E}"/>
            </a:ext>
          </a:extLst>
        </xdr:cNvPr>
        <xdr:cNvSpPr/>
      </xdr:nvSpPr>
      <xdr:spPr>
        <a:xfrm>
          <a:off x="4406900" y="187325"/>
          <a:ext cx="1070475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4</xdr:col>
      <xdr:colOff>114747</xdr:colOff>
      <xdr:row>0</xdr:row>
      <xdr:rowOff>126999</xdr:rowOff>
    </xdr:from>
    <xdr:to>
      <xdr:col>5</xdr:col>
      <xdr:colOff>8472</xdr:colOff>
      <xdr:row>2</xdr:row>
      <xdr:rowOff>170624</xdr:rowOff>
    </xdr:to>
    <xdr:sp macro="" textlink="">
      <xdr:nvSpPr>
        <xdr:cNvPr id="16" name="Retângulo: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72557B-32EC-43A6-9A27-2A171AA5D49F}"/>
            </a:ext>
          </a:extLst>
        </xdr:cNvPr>
        <xdr:cNvSpPr/>
      </xdr:nvSpPr>
      <xdr:spPr>
        <a:xfrm>
          <a:off x="5524947" y="193674"/>
          <a:ext cx="1332000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>
    <xdr:from>
      <xdr:col>68</xdr:col>
      <xdr:colOff>498474</xdr:colOff>
      <xdr:row>198</xdr:row>
      <xdr:rowOff>149225</xdr:rowOff>
    </xdr:from>
    <xdr:to>
      <xdr:col>69</xdr:col>
      <xdr:colOff>725574</xdr:colOff>
      <xdr:row>200</xdr:row>
      <xdr:rowOff>173800</xdr:rowOff>
    </xdr:to>
    <xdr:sp macro="" textlink="">
      <xdr:nvSpPr>
        <xdr:cNvPr id="6" name="Retângulo: Cantos Arredondado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C5FD82-E518-425C-A702-103D693AD21E}"/>
            </a:ext>
          </a:extLst>
        </xdr:cNvPr>
        <xdr:cNvSpPr/>
      </xdr:nvSpPr>
      <xdr:spPr>
        <a:xfrm>
          <a:off x="48390174" y="46069250"/>
          <a:ext cx="1322475" cy="4817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RETORNO</a:t>
          </a:r>
        </a:p>
      </xdr:txBody>
    </xdr:sp>
    <xdr:clientData/>
  </xdr:twoCellAnchor>
  <xdr:twoCellAnchor>
    <xdr:from>
      <xdr:col>67</xdr:col>
      <xdr:colOff>447665</xdr:colOff>
      <xdr:row>198</xdr:row>
      <xdr:rowOff>149225</xdr:rowOff>
    </xdr:from>
    <xdr:to>
      <xdr:col>68</xdr:col>
      <xdr:colOff>416415</xdr:colOff>
      <xdr:row>200</xdr:row>
      <xdr:rowOff>170625</xdr:rowOff>
    </xdr:to>
    <xdr:sp macro="" textlink="">
      <xdr:nvSpPr>
        <xdr:cNvPr id="7" name="Retângulo: Cantos Arredondado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9EC6AC-A886-4D28-9EBD-C23DA6883100}"/>
            </a:ext>
          </a:extLst>
        </xdr:cNvPr>
        <xdr:cNvSpPr/>
      </xdr:nvSpPr>
      <xdr:spPr>
        <a:xfrm>
          <a:off x="47243990" y="46069250"/>
          <a:ext cx="1064125" cy="4786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horzOverflow="clip" wrap="square" rtlCol="0" anchor="ctr"/>
      <a:lstStyle>
        <a:defPPr marL="0" marR="0" indent="0" algn="ctr" defTabSz="91440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sz="2800" b="1">
            <a:solidFill>
              <a:schemeClr val="bg1"/>
            </a:solidFill>
            <a:latin typeface="+mj-lt"/>
            <a:ea typeface="+mj-lt"/>
            <a:cs typeface="+mj-lt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aneel.gov.br/cedoc/areh20253459_1.pdf" TargetMode="External"/><Relationship Id="rId2" Type="http://schemas.openxmlformats.org/officeDocument/2006/relationships/hyperlink" Target="https://www2.aneel.gov.br/aplicacoes/tarifa/arquivo/NT%2012%202023%20RTP%20Cemig.pdf" TargetMode="External"/><Relationship Id="rId1" Type="http://schemas.openxmlformats.org/officeDocument/2006/relationships/hyperlink" Target="https://www2.aneel.gov.br/aplicacoes/tarifa/arquivo/NT__CEMIG.pdf" TargetMode="External"/><Relationship Id="rId5" Type="http://schemas.openxmlformats.org/officeDocument/2006/relationships/drawing" Target="../drawings/drawing15.xml"/><Relationship Id="rId4" Type="http://schemas.openxmlformats.org/officeDocument/2006/relationships/hyperlink" Target="https://leis.org/aneel/lei/resolucao-homologatoria/2026/3589/resolucao-homologatoria-n-3589-2026-homologa-o-resultado-do-reajuste-tarifario-anual-de-2026-as-tarifas-de-energia-te-e-as-tarifas-de-uso-do-sistema-de-distribuicao-tusd-referentes-a-cemig-distribuicao-sa-cemig-d-e-da-outras/?termo=3589%2F2026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F8E4-8D44-43DD-9175-93E523B4F6A6}">
  <sheetPr>
    <tabColor rgb="FFCCFFCC"/>
  </sheetPr>
  <dimension ref="E57"/>
  <sheetViews>
    <sheetView showGridLines="0" tabSelected="1" zoomScale="70" zoomScaleNormal="70" workbookViewId="0"/>
  </sheetViews>
  <sheetFormatPr defaultColWidth="8.7265625" defaultRowHeight="14.5" x14ac:dyDescent="0.35"/>
  <cols>
    <col min="1" max="26" width="8.7265625" customWidth="1"/>
  </cols>
  <sheetData>
    <row r="57" spans="5:5" x14ac:dyDescent="0.35">
      <c r="E57" s="38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A327-ECE5-4E6B-8C78-9662158729DD}">
  <sheetPr codeName="Planilha15">
    <tabColor rgb="FF17772E"/>
    <outlinePr summaryBelow="0"/>
  </sheetPr>
  <dimension ref="B4:H110"/>
  <sheetViews>
    <sheetView showGridLines="0" zoomScaleNormal="100" workbookViewId="0"/>
  </sheetViews>
  <sheetFormatPr defaultColWidth="8.7265625" defaultRowHeight="19" customHeight="1" outlineLevelRow="1" x14ac:dyDescent="0.35"/>
  <cols>
    <col min="1" max="1" width="2.54296875" style="3" customWidth="1"/>
    <col min="2" max="2" width="46.453125" style="3" bestFit="1" customWidth="1"/>
    <col min="3" max="3" width="19.81640625" style="3" customWidth="1"/>
    <col min="4" max="5" width="20.54296875" style="3" customWidth="1"/>
    <col min="6" max="7" width="15.54296875" style="3" customWidth="1"/>
    <col min="8" max="8" width="22.54296875" style="3" customWidth="1"/>
    <col min="9" max="9" width="10.54296875" style="3" bestFit="1" customWidth="1"/>
    <col min="10" max="16384" width="8.7265625" style="3"/>
  </cols>
  <sheetData>
    <row r="4" spans="2:8" ht="20.149999999999999" customHeight="1" x14ac:dyDescent="0.35">
      <c r="B4" s="509" t="s">
        <v>523</v>
      </c>
      <c r="C4" s="509"/>
      <c r="D4" s="509"/>
      <c r="E4" s="509"/>
      <c r="F4" s="509"/>
      <c r="G4" s="509"/>
      <c r="H4" s="508"/>
    </row>
    <row r="5" spans="2:8" ht="20.149999999999999" customHeight="1" x14ac:dyDescent="0.35">
      <c r="B5" s="509"/>
      <c r="C5" s="509"/>
      <c r="D5" s="509"/>
      <c r="E5" s="509"/>
      <c r="F5" s="509"/>
      <c r="G5" s="509"/>
      <c r="H5" s="508"/>
    </row>
    <row r="6" spans="2:8" ht="10" customHeight="1" x14ac:dyDescent="0.35"/>
    <row r="7" spans="2:8" ht="40" customHeight="1" x14ac:dyDescent="0.35">
      <c r="B7" s="87" t="s">
        <v>524</v>
      </c>
      <c r="C7" s="94" t="s">
        <v>525</v>
      </c>
      <c r="D7" s="94" t="s">
        <v>526</v>
      </c>
      <c r="E7" s="94" t="s">
        <v>527</v>
      </c>
      <c r="F7" s="94" t="s">
        <v>528</v>
      </c>
      <c r="G7" s="94" t="s">
        <v>529</v>
      </c>
    </row>
    <row r="8" spans="2:8" ht="30" customHeight="1" x14ac:dyDescent="0.35">
      <c r="B8" s="102" t="s">
        <v>530</v>
      </c>
      <c r="C8" s="99"/>
      <c r="D8" s="100">
        <f>SUM(D9,D35,D39)</f>
        <v>3311.5933999999997</v>
      </c>
      <c r="E8" s="100">
        <f>SUM(E9,E35,E39)</f>
        <v>1582.4650000000006</v>
      </c>
      <c r="F8" s="101"/>
      <c r="G8" s="101"/>
    </row>
    <row r="9" spans="2:8" ht="25" customHeight="1" outlineLevel="1" x14ac:dyDescent="0.35">
      <c r="B9" s="95" t="s">
        <v>531</v>
      </c>
      <c r="C9" s="96"/>
      <c r="D9" s="97">
        <f>SUM(D10:D34)</f>
        <v>3084.3749999999995</v>
      </c>
      <c r="E9" s="97">
        <f>SUM(E10:E34)</f>
        <v>1510.4850000000006</v>
      </c>
      <c r="F9" s="98"/>
      <c r="G9" s="98"/>
    </row>
    <row r="10" spans="2:8" ht="20.149999999999999" customHeight="1" outlineLevel="1" x14ac:dyDescent="0.35">
      <c r="B10" s="418" t="s">
        <v>532</v>
      </c>
      <c r="C10" s="419" t="s">
        <v>117</v>
      </c>
      <c r="D10" s="420">
        <v>1192</v>
      </c>
      <c r="E10" s="420">
        <v>474.8</v>
      </c>
      <c r="F10" s="421">
        <v>46534</v>
      </c>
      <c r="G10" s="422">
        <v>1</v>
      </c>
    </row>
    <row r="11" spans="2:8" ht="20.149999999999999" customHeight="1" outlineLevel="1" x14ac:dyDescent="0.35">
      <c r="B11" s="239" t="s">
        <v>533</v>
      </c>
      <c r="C11" s="240" t="s">
        <v>117</v>
      </c>
      <c r="D11" s="241">
        <v>510</v>
      </c>
      <c r="E11" s="241">
        <v>256.60000000000002</v>
      </c>
      <c r="F11" s="242">
        <v>46613</v>
      </c>
      <c r="G11" s="243">
        <v>1</v>
      </c>
    </row>
    <row r="12" spans="2:8" ht="20.149999999999999" customHeight="1" outlineLevel="1" x14ac:dyDescent="0.35">
      <c r="B12" s="239" t="s">
        <v>534</v>
      </c>
      <c r="C12" s="240" t="s">
        <v>117</v>
      </c>
      <c r="D12" s="241">
        <v>399</v>
      </c>
      <c r="E12" s="241">
        <v>197.9</v>
      </c>
      <c r="F12" s="242">
        <v>51437</v>
      </c>
      <c r="G12" s="243">
        <v>1</v>
      </c>
    </row>
    <row r="13" spans="2:8" ht="20.149999999999999" customHeight="1" outlineLevel="1" x14ac:dyDescent="0.35">
      <c r="B13" s="239" t="s">
        <v>535</v>
      </c>
      <c r="C13" s="240" t="s">
        <v>117</v>
      </c>
      <c r="D13" s="241">
        <v>396</v>
      </c>
      <c r="E13" s="241">
        <v>227.1</v>
      </c>
      <c r="F13" s="242">
        <v>55890</v>
      </c>
      <c r="G13" s="243">
        <v>1</v>
      </c>
    </row>
    <row r="14" spans="2:8" ht="20.149999999999999" customHeight="1" outlineLevel="1" x14ac:dyDescent="0.35">
      <c r="B14" s="239" t="s">
        <v>536</v>
      </c>
      <c r="C14" s="240" t="s">
        <v>117</v>
      </c>
      <c r="D14" s="241">
        <v>102</v>
      </c>
      <c r="E14" s="241">
        <v>73.8</v>
      </c>
      <c r="F14" s="242">
        <v>55890</v>
      </c>
      <c r="G14" s="243">
        <v>1</v>
      </c>
    </row>
    <row r="15" spans="2:8" ht="20.149999999999999" customHeight="1" outlineLevel="1" x14ac:dyDescent="0.35">
      <c r="B15" s="239" t="s">
        <v>537</v>
      </c>
      <c r="C15" s="240" t="s">
        <v>117</v>
      </c>
      <c r="D15" s="241">
        <v>86.625</v>
      </c>
      <c r="E15" s="241">
        <v>53.294999999999995</v>
      </c>
      <c r="F15" s="242">
        <v>51678</v>
      </c>
      <c r="G15" s="244">
        <v>0.82499999999999996</v>
      </c>
    </row>
    <row r="16" spans="2:8" ht="20.149999999999999" customHeight="1" outlineLevel="1" x14ac:dyDescent="0.35">
      <c r="B16" s="239" t="s">
        <v>538</v>
      </c>
      <c r="C16" s="240" t="s">
        <v>539</v>
      </c>
      <c r="D16" s="241">
        <v>78</v>
      </c>
      <c r="E16" s="241">
        <v>54.4</v>
      </c>
      <c r="F16" s="242">
        <v>46264</v>
      </c>
      <c r="G16" s="243">
        <v>1</v>
      </c>
    </row>
    <row r="17" spans="2:7" ht="20.149999999999999" customHeight="1" outlineLevel="1" x14ac:dyDescent="0.35">
      <c r="B17" s="239" t="s">
        <v>540</v>
      </c>
      <c r="C17" s="240" t="s">
        <v>541</v>
      </c>
      <c r="D17" s="241">
        <v>55</v>
      </c>
      <c r="E17" s="241">
        <v>27.7</v>
      </c>
      <c r="F17" s="242">
        <v>49659</v>
      </c>
      <c r="G17" s="243">
        <v>1</v>
      </c>
    </row>
    <row r="18" spans="2:7" ht="20.149999999999999" customHeight="1" outlineLevel="1" x14ac:dyDescent="0.35">
      <c r="B18" s="239" t="s">
        <v>542</v>
      </c>
      <c r="C18" s="240" t="s">
        <v>543</v>
      </c>
      <c r="D18" s="241">
        <v>52</v>
      </c>
      <c r="E18" s="241">
        <v>26.6</v>
      </c>
      <c r="F18" s="242">
        <v>55890</v>
      </c>
      <c r="G18" s="243">
        <v>1</v>
      </c>
    </row>
    <row r="19" spans="2:7" ht="20.149999999999999" customHeight="1" outlineLevel="1" x14ac:dyDescent="0.35">
      <c r="B19" s="239" t="s">
        <v>544</v>
      </c>
      <c r="C19" s="240" t="s">
        <v>545</v>
      </c>
      <c r="D19" s="241">
        <v>46</v>
      </c>
      <c r="E19" s="241">
        <v>21.6</v>
      </c>
      <c r="F19" s="242">
        <v>55890</v>
      </c>
      <c r="G19" s="243">
        <v>1</v>
      </c>
    </row>
    <row r="20" spans="2:7" ht="20.149999999999999" customHeight="1" outlineLevel="1" x14ac:dyDescent="0.35">
      <c r="B20" s="239" t="s">
        <v>546</v>
      </c>
      <c r="C20" s="240" t="s">
        <v>117</v>
      </c>
      <c r="D20" s="241">
        <v>30</v>
      </c>
      <c r="E20" s="241">
        <v>16.809999999999999</v>
      </c>
      <c r="F20" s="242">
        <v>55671</v>
      </c>
      <c r="G20" s="243">
        <v>1</v>
      </c>
    </row>
    <row r="21" spans="2:7" ht="20.149999999999999" customHeight="1" outlineLevel="1" x14ac:dyDescent="0.35">
      <c r="B21" s="239" t="s">
        <v>795</v>
      </c>
      <c r="C21" s="240" t="s">
        <v>547</v>
      </c>
      <c r="D21" s="241">
        <v>23</v>
      </c>
      <c r="E21" s="241">
        <v>13.91</v>
      </c>
      <c r="F21" s="242">
        <v>51761</v>
      </c>
      <c r="G21" s="243">
        <v>1</v>
      </c>
    </row>
    <row r="22" spans="2:7" ht="20.149999999999999" customHeight="1" outlineLevel="1" x14ac:dyDescent="0.35">
      <c r="B22" s="239" t="s">
        <v>580</v>
      </c>
      <c r="C22" s="240" t="s">
        <v>581</v>
      </c>
      <c r="D22" s="241">
        <v>20</v>
      </c>
      <c r="E22" s="241">
        <v>11.9</v>
      </c>
      <c r="F22" s="242">
        <v>49288</v>
      </c>
      <c r="G22" s="244">
        <v>1</v>
      </c>
    </row>
    <row r="23" spans="2:7" ht="20.149999999999999" customHeight="1" outlineLevel="1" x14ac:dyDescent="0.35">
      <c r="B23" s="239" t="s">
        <v>548</v>
      </c>
      <c r="C23" s="240" t="s">
        <v>549</v>
      </c>
      <c r="D23" s="241">
        <v>18</v>
      </c>
      <c r="E23" s="241">
        <v>13.53</v>
      </c>
      <c r="F23" s="242">
        <v>55890</v>
      </c>
      <c r="G23" s="243">
        <v>1</v>
      </c>
    </row>
    <row r="24" spans="2:7" ht="20.149999999999999" customHeight="1" outlineLevel="1" x14ac:dyDescent="0.35">
      <c r="B24" s="239" t="s">
        <v>550</v>
      </c>
      <c r="C24" s="240" t="s">
        <v>551</v>
      </c>
      <c r="D24" s="241">
        <v>14</v>
      </c>
      <c r="E24" s="241">
        <v>6.68</v>
      </c>
      <c r="F24" s="242">
        <v>55890</v>
      </c>
      <c r="G24" s="243">
        <v>1</v>
      </c>
    </row>
    <row r="25" spans="2:7" ht="20.149999999999999" customHeight="1" outlineLevel="1" x14ac:dyDescent="0.35">
      <c r="B25" s="239" t="s">
        <v>552</v>
      </c>
      <c r="C25" s="240" t="s">
        <v>553</v>
      </c>
      <c r="D25" s="241">
        <v>9.4</v>
      </c>
      <c r="E25" s="241">
        <v>6.18</v>
      </c>
      <c r="F25" s="242">
        <v>55890</v>
      </c>
      <c r="G25" s="243">
        <v>1</v>
      </c>
    </row>
    <row r="26" spans="2:7" ht="20.149999999999999" customHeight="1" outlineLevel="1" x14ac:dyDescent="0.35">
      <c r="B26" s="239" t="s">
        <v>554</v>
      </c>
      <c r="C26" s="240" t="s">
        <v>553</v>
      </c>
      <c r="D26" s="241">
        <v>8.5</v>
      </c>
      <c r="E26" s="241">
        <v>3.39</v>
      </c>
      <c r="F26" s="242">
        <v>53671</v>
      </c>
      <c r="G26" s="243">
        <v>1</v>
      </c>
    </row>
    <row r="27" spans="2:7" ht="20.149999999999999" customHeight="1" outlineLevel="1" x14ac:dyDescent="0.35">
      <c r="B27" s="239" t="s">
        <v>555</v>
      </c>
      <c r="C27" s="240" t="s">
        <v>549</v>
      </c>
      <c r="D27" s="241">
        <v>8.4</v>
      </c>
      <c r="E27" s="241">
        <v>5.2</v>
      </c>
      <c r="F27" s="242">
        <v>55890</v>
      </c>
      <c r="G27" s="243">
        <v>1</v>
      </c>
    </row>
    <row r="28" spans="2:7" ht="20.149999999999999" customHeight="1" outlineLevel="1" x14ac:dyDescent="0.35">
      <c r="B28" s="239" t="s">
        <v>556</v>
      </c>
      <c r="C28" s="240" t="s">
        <v>551</v>
      </c>
      <c r="D28" s="241">
        <v>7.2</v>
      </c>
      <c r="E28" s="241">
        <v>2.69</v>
      </c>
      <c r="F28" s="242">
        <v>55887</v>
      </c>
      <c r="G28" s="243">
        <v>1</v>
      </c>
    </row>
    <row r="29" spans="2:7" ht="20.149999999999999" customHeight="1" outlineLevel="1" x14ac:dyDescent="0.35">
      <c r="B29" s="239" t="s">
        <v>557</v>
      </c>
      <c r="C29" s="240" t="s">
        <v>553</v>
      </c>
      <c r="D29" s="241">
        <v>6.97</v>
      </c>
      <c r="E29" s="241">
        <v>3.19</v>
      </c>
      <c r="F29" s="242">
        <v>53802</v>
      </c>
      <c r="G29" s="243">
        <v>1</v>
      </c>
    </row>
    <row r="30" spans="2:7" ht="20.149999999999999" customHeight="1" outlineLevel="1" x14ac:dyDescent="0.35">
      <c r="B30" s="239" t="s">
        <v>558</v>
      </c>
      <c r="C30" s="240" t="s">
        <v>553</v>
      </c>
      <c r="D30" s="241">
        <v>6.47</v>
      </c>
      <c r="E30" s="241">
        <v>4.66</v>
      </c>
      <c r="F30" s="242">
        <v>53802</v>
      </c>
      <c r="G30" s="243">
        <v>1</v>
      </c>
    </row>
    <row r="31" spans="2:7" ht="20.149999999999999" customHeight="1" outlineLevel="1" x14ac:dyDescent="0.35">
      <c r="B31" s="239" t="s">
        <v>559</v>
      </c>
      <c r="C31" s="240" t="s">
        <v>549</v>
      </c>
      <c r="D31" s="241">
        <v>5.04</v>
      </c>
      <c r="E31" s="241">
        <v>3.26</v>
      </c>
      <c r="F31" s="242">
        <v>53794</v>
      </c>
      <c r="G31" s="243">
        <v>1</v>
      </c>
    </row>
    <row r="32" spans="2:7" ht="20.149999999999999" customHeight="1" outlineLevel="1" x14ac:dyDescent="0.35">
      <c r="B32" s="239" t="s">
        <v>560</v>
      </c>
      <c r="C32" s="240" t="s">
        <v>117</v>
      </c>
      <c r="D32" s="241">
        <v>4.28</v>
      </c>
      <c r="E32" s="241">
        <v>1.9</v>
      </c>
      <c r="F32" s="242" t="s">
        <v>561</v>
      </c>
      <c r="G32" s="243">
        <v>1</v>
      </c>
    </row>
    <row r="33" spans="2:7" ht="20.149999999999999" customHeight="1" outlineLevel="1" x14ac:dyDescent="0.35">
      <c r="B33" s="239" t="s">
        <v>562</v>
      </c>
      <c r="C33" s="240" t="s">
        <v>549</v>
      </c>
      <c r="D33" s="241">
        <v>4.08</v>
      </c>
      <c r="E33" s="241">
        <v>2.36</v>
      </c>
      <c r="F33" s="242">
        <v>55887</v>
      </c>
      <c r="G33" s="243">
        <v>1</v>
      </c>
    </row>
    <row r="34" spans="2:7" ht="20.149999999999999" customHeight="1" outlineLevel="1" x14ac:dyDescent="0.35">
      <c r="B34" s="239" t="s">
        <v>563</v>
      </c>
      <c r="C34" s="240" t="s">
        <v>553</v>
      </c>
      <c r="D34" s="241">
        <v>2.41</v>
      </c>
      <c r="E34" s="241">
        <v>1.03</v>
      </c>
      <c r="F34" s="242">
        <v>54988</v>
      </c>
      <c r="G34" s="243">
        <v>1</v>
      </c>
    </row>
    <row r="35" spans="2:7" ht="25" customHeight="1" outlineLevel="1" x14ac:dyDescent="0.35">
      <c r="B35" s="95" t="s">
        <v>565</v>
      </c>
      <c r="C35" s="86"/>
      <c r="D35" s="104">
        <f>SUM(D36:D38)</f>
        <v>156.41839999999999</v>
      </c>
      <c r="E35" s="104">
        <f>SUM(E36:E38)</f>
        <v>45.18</v>
      </c>
      <c r="F35" s="86"/>
      <c r="G35" s="86"/>
    </row>
    <row r="36" spans="2:7" ht="20.149999999999999" customHeight="1" outlineLevel="1" x14ac:dyDescent="0.35">
      <c r="B36" s="418" t="s">
        <v>566</v>
      </c>
      <c r="C36" s="419" t="s">
        <v>117</v>
      </c>
      <c r="D36" s="420">
        <v>85</v>
      </c>
      <c r="E36" s="420">
        <v>25</v>
      </c>
      <c r="F36" s="421">
        <v>57573</v>
      </c>
      <c r="G36" s="423">
        <v>1</v>
      </c>
    </row>
    <row r="37" spans="2:7" ht="20.149999999999999" customHeight="1" outlineLevel="1" x14ac:dyDescent="0.35">
      <c r="B37" s="239" t="s">
        <v>567</v>
      </c>
      <c r="C37" s="240" t="s">
        <v>117</v>
      </c>
      <c r="D37" s="241">
        <v>70</v>
      </c>
      <c r="E37" s="241">
        <v>20</v>
      </c>
      <c r="F37" s="242">
        <v>57755</v>
      </c>
      <c r="G37" s="243">
        <v>1</v>
      </c>
    </row>
    <row r="38" spans="2:7" ht="20.149999999999999" customHeight="1" outlineLevel="1" x14ac:dyDescent="0.35">
      <c r="B38" s="239" t="s">
        <v>568</v>
      </c>
      <c r="C38" s="240" t="s">
        <v>117</v>
      </c>
      <c r="D38" s="241">
        <v>1.4184000000000001</v>
      </c>
      <c r="E38" s="241">
        <v>0.18</v>
      </c>
      <c r="F38" s="242" t="s">
        <v>564</v>
      </c>
      <c r="G38" s="244">
        <v>1</v>
      </c>
    </row>
    <row r="39" spans="2:7" ht="25" customHeight="1" outlineLevel="1" x14ac:dyDescent="0.35">
      <c r="B39" s="95" t="s">
        <v>570</v>
      </c>
      <c r="C39" s="86"/>
      <c r="D39" s="104">
        <f>SUM(D40:D41)</f>
        <v>70.8</v>
      </c>
      <c r="E39" s="104">
        <f>SUM(E40:E41)</f>
        <v>26.8</v>
      </c>
      <c r="F39" s="86"/>
      <c r="G39" s="86"/>
    </row>
    <row r="40" spans="2:7" ht="20.149999999999999" customHeight="1" outlineLevel="1" x14ac:dyDescent="0.35">
      <c r="B40" s="234" t="s">
        <v>571</v>
      </c>
      <c r="C40" s="235" t="s">
        <v>117</v>
      </c>
      <c r="D40" s="236">
        <v>42</v>
      </c>
      <c r="E40" s="236">
        <v>18.41</v>
      </c>
      <c r="F40" s="237">
        <v>48208</v>
      </c>
      <c r="G40" s="238">
        <v>1</v>
      </c>
    </row>
    <row r="41" spans="2:7" ht="20.149999999999999" customHeight="1" outlineLevel="1" x14ac:dyDescent="0.35">
      <c r="B41" s="245" t="s">
        <v>572</v>
      </c>
      <c r="C41" s="246" t="s">
        <v>117</v>
      </c>
      <c r="D41" s="247">
        <v>28.8</v>
      </c>
      <c r="E41" s="247">
        <v>8.39</v>
      </c>
      <c r="F41" s="248">
        <v>48481</v>
      </c>
      <c r="G41" s="249">
        <v>1</v>
      </c>
    </row>
    <row r="42" spans="2:7" ht="30" customHeight="1" x14ac:dyDescent="0.35">
      <c r="B42" s="102" t="s">
        <v>573</v>
      </c>
      <c r="C42" s="102"/>
      <c r="D42" s="103">
        <f>D43</f>
        <v>1360.0400000000002</v>
      </c>
      <c r="E42" s="103">
        <f>E43</f>
        <v>563.31100000000004</v>
      </c>
      <c r="F42" s="102"/>
      <c r="G42" s="102"/>
    </row>
    <row r="43" spans="2:7" ht="25" customHeight="1" outlineLevel="1" x14ac:dyDescent="0.35">
      <c r="B43" s="95" t="s">
        <v>531</v>
      </c>
      <c r="C43" s="96"/>
      <c r="D43" s="97">
        <f>SUM(D44:D50)</f>
        <v>1360.0400000000002</v>
      </c>
      <c r="E43" s="97">
        <f>SUM(E44:E50)</f>
        <v>563.31100000000004</v>
      </c>
      <c r="F43" s="98"/>
      <c r="G43" s="98"/>
    </row>
    <row r="44" spans="2:7" ht="20.149999999999999" customHeight="1" outlineLevel="1" x14ac:dyDescent="0.35">
      <c r="B44" s="239" t="s">
        <v>574</v>
      </c>
      <c r="C44" s="240" t="s">
        <v>575</v>
      </c>
      <c r="D44" s="241">
        <v>1313</v>
      </c>
      <c r="E44" s="241">
        <v>534.29999999999995</v>
      </c>
      <c r="F44" s="242">
        <v>53521</v>
      </c>
      <c r="G44" s="244">
        <v>0.11700000000000001</v>
      </c>
    </row>
    <row r="45" spans="2:7" ht="20.149999999999999" customHeight="1" outlineLevel="1" x14ac:dyDescent="0.35">
      <c r="B45" s="239" t="s">
        <v>576</v>
      </c>
      <c r="C45" s="240" t="s">
        <v>577</v>
      </c>
      <c r="D45" s="241">
        <v>13.23</v>
      </c>
      <c r="E45" s="241">
        <v>8.0213000000000001</v>
      </c>
      <c r="F45" s="242">
        <v>53329</v>
      </c>
      <c r="G45" s="244">
        <v>0.49</v>
      </c>
    </row>
    <row r="46" spans="2:7" ht="20.149999999999999" customHeight="1" outlineLevel="1" x14ac:dyDescent="0.35">
      <c r="B46" s="239" t="s">
        <v>578</v>
      </c>
      <c r="C46" s="240" t="s">
        <v>579</v>
      </c>
      <c r="D46" s="241">
        <v>12.25</v>
      </c>
      <c r="E46" s="241">
        <v>9.569700000000001</v>
      </c>
      <c r="F46" s="242">
        <v>48954</v>
      </c>
      <c r="G46" s="244">
        <v>0.49</v>
      </c>
    </row>
    <row r="47" spans="2:7" ht="20.149999999999999" customHeight="1" outlineLevel="1" x14ac:dyDescent="0.35">
      <c r="B47" s="239" t="s">
        <v>582</v>
      </c>
      <c r="C47" s="240" t="s">
        <v>583</v>
      </c>
      <c r="D47" s="241">
        <v>6.86</v>
      </c>
      <c r="E47" s="241">
        <v>3.5</v>
      </c>
      <c r="F47" s="242">
        <v>48589</v>
      </c>
      <c r="G47" s="244">
        <v>0.48999999999999994</v>
      </c>
    </row>
    <row r="48" spans="2:7" ht="20.149999999999999" customHeight="1" outlineLevel="1" x14ac:dyDescent="0.35">
      <c r="B48" s="239" t="s">
        <v>584</v>
      </c>
      <c r="C48" s="240" t="s">
        <v>583</v>
      </c>
      <c r="D48" s="241">
        <v>5.88</v>
      </c>
      <c r="E48" s="241">
        <v>3.19</v>
      </c>
      <c r="F48" s="242">
        <v>48567</v>
      </c>
      <c r="G48" s="244">
        <v>0.49</v>
      </c>
    </row>
    <row r="49" spans="2:7" ht="20.149999999999999" customHeight="1" outlineLevel="1" x14ac:dyDescent="0.35">
      <c r="B49" s="239" t="s">
        <v>585</v>
      </c>
      <c r="C49" s="240" t="s">
        <v>583</v>
      </c>
      <c r="D49" s="241">
        <v>4.41</v>
      </c>
      <c r="E49" s="241">
        <v>2.2799999999999998</v>
      </c>
      <c r="F49" s="242">
        <v>48228</v>
      </c>
      <c r="G49" s="244">
        <v>0.49</v>
      </c>
    </row>
    <row r="50" spans="2:7" ht="20.149999999999999" customHeight="1" outlineLevel="1" x14ac:dyDescent="0.35">
      <c r="B50" s="245" t="s">
        <v>586</v>
      </c>
      <c r="C50" s="246" t="s">
        <v>583</v>
      </c>
      <c r="D50" s="247">
        <v>4.41</v>
      </c>
      <c r="E50" s="247">
        <v>2.4500000000000002</v>
      </c>
      <c r="F50" s="248">
        <v>48522</v>
      </c>
      <c r="G50" s="249">
        <v>0.49</v>
      </c>
    </row>
    <row r="51" spans="2:7" ht="30" customHeight="1" thickBot="1" x14ac:dyDescent="0.4">
      <c r="B51" s="213" t="s">
        <v>587</v>
      </c>
      <c r="C51" s="214"/>
      <c r="D51" s="215">
        <f>SUM(D42,D8)</f>
        <v>4671.6333999999997</v>
      </c>
      <c r="E51" s="215">
        <f>SUM(E42,E8)</f>
        <v>2145.7760000000007</v>
      </c>
      <c r="F51" s="214"/>
      <c r="G51" s="214"/>
    </row>
    <row r="52" spans="2:7" ht="19" customHeight="1" x14ac:dyDescent="0.35">
      <c r="B52" s="88"/>
      <c r="C52" s="89"/>
      <c r="D52" s="90"/>
      <c r="E52" s="90"/>
      <c r="F52" s="91"/>
      <c r="G52" s="92"/>
    </row>
    <row r="53" spans="2:7" ht="40" customHeight="1" x14ac:dyDescent="0.35">
      <c r="B53" s="87" t="s">
        <v>588</v>
      </c>
      <c r="C53" s="94"/>
      <c r="D53" s="94" t="s">
        <v>526</v>
      </c>
      <c r="E53" s="94" t="s">
        <v>527</v>
      </c>
      <c r="F53" s="510" t="s">
        <v>529</v>
      </c>
      <c r="G53" s="510"/>
    </row>
    <row r="54" spans="2:7" ht="30" customHeight="1" x14ac:dyDescent="0.35">
      <c r="B54" s="39" t="s">
        <v>589</v>
      </c>
      <c r="C54" s="39"/>
      <c r="D54" s="93">
        <f>D55</f>
        <v>132.875</v>
      </c>
      <c r="E54" s="93">
        <f>E55</f>
        <v>34.699858152362523</v>
      </c>
      <c r="F54" s="39"/>
      <c r="G54" s="39"/>
    </row>
    <row r="55" spans="2:7" ht="25" customHeight="1" outlineLevel="1" x14ac:dyDescent="0.35">
      <c r="B55" s="95" t="s">
        <v>565</v>
      </c>
      <c r="C55" s="96"/>
      <c r="D55" s="97">
        <f>SUM(D56:D100)</f>
        <v>132.875</v>
      </c>
      <c r="E55" s="97">
        <f>SUM(E56:E100)</f>
        <v>34.699858152362523</v>
      </c>
      <c r="F55" s="98"/>
      <c r="G55" s="98"/>
    </row>
    <row r="56" spans="2:7" ht="20.149999999999999" customHeight="1" outlineLevel="1" x14ac:dyDescent="0.35">
      <c r="B56" s="234" t="s">
        <v>598</v>
      </c>
      <c r="C56" s="235"/>
      <c r="D56" s="236">
        <v>5</v>
      </c>
      <c r="E56" s="236">
        <v>1.260958904109589</v>
      </c>
      <c r="F56" s="511">
        <v>1</v>
      </c>
      <c r="G56" s="511"/>
    </row>
    <row r="57" spans="2:7" ht="20.149999999999999" customHeight="1" outlineLevel="1" x14ac:dyDescent="0.35">
      <c r="B57" s="239" t="s">
        <v>596</v>
      </c>
      <c r="C57" s="240"/>
      <c r="D57" s="241">
        <v>5</v>
      </c>
      <c r="E57" s="241">
        <v>1.3853881278538813</v>
      </c>
      <c r="F57" s="507">
        <v>1</v>
      </c>
      <c r="G57" s="507"/>
    </row>
    <row r="58" spans="2:7" ht="20.149999999999999" customHeight="1" outlineLevel="1" x14ac:dyDescent="0.35">
      <c r="B58" s="239" t="s">
        <v>600</v>
      </c>
      <c r="C58" s="240"/>
      <c r="D58" s="241">
        <v>5</v>
      </c>
      <c r="E58" s="241">
        <v>1.1212328767123287</v>
      </c>
      <c r="F58" s="507">
        <v>1</v>
      </c>
      <c r="G58" s="507"/>
    </row>
    <row r="59" spans="2:7" ht="20.149999999999999" customHeight="1" outlineLevel="1" x14ac:dyDescent="0.35">
      <c r="B59" s="239" t="s">
        <v>595</v>
      </c>
      <c r="C59" s="240"/>
      <c r="D59" s="241">
        <v>5</v>
      </c>
      <c r="E59" s="241">
        <v>1.4052511415525115</v>
      </c>
      <c r="F59" s="507">
        <v>1</v>
      </c>
      <c r="G59" s="507"/>
    </row>
    <row r="60" spans="2:7" ht="20.149999999999999" customHeight="1" outlineLevel="1" x14ac:dyDescent="0.35">
      <c r="B60" s="239" t="s">
        <v>592</v>
      </c>
      <c r="C60" s="240"/>
      <c r="D60" s="241">
        <v>5</v>
      </c>
      <c r="E60" s="241">
        <v>1.4325342465753426</v>
      </c>
      <c r="F60" s="507">
        <v>1</v>
      </c>
      <c r="G60" s="507"/>
    </row>
    <row r="61" spans="2:7" ht="20.149999999999999" customHeight="1" outlineLevel="1" x14ac:dyDescent="0.35">
      <c r="B61" s="239" t="s">
        <v>591</v>
      </c>
      <c r="C61" s="240"/>
      <c r="D61" s="241">
        <v>5</v>
      </c>
      <c r="E61" s="241">
        <v>1.4662100456621006</v>
      </c>
      <c r="F61" s="507">
        <v>1</v>
      </c>
      <c r="G61" s="507"/>
    </row>
    <row r="62" spans="2:7" ht="20.149999999999999" customHeight="1" outlineLevel="1" x14ac:dyDescent="0.35">
      <c r="B62" s="239" t="s">
        <v>590</v>
      </c>
      <c r="C62" s="240"/>
      <c r="D62" s="241">
        <v>5</v>
      </c>
      <c r="E62" s="241">
        <v>1.5055936073059362</v>
      </c>
      <c r="F62" s="507">
        <v>1</v>
      </c>
      <c r="G62" s="507"/>
    </row>
    <row r="63" spans="2:7" ht="20.149999999999999" customHeight="1" outlineLevel="1" x14ac:dyDescent="0.35">
      <c r="B63" s="239" t="s">
        <v>597</v>
      </c>
      <c r="C63" s="240"/>
      <c r="D63" s="241">
        <v>5</v>
      </c>
      <c r="E63" s="241">
        <v>1.3702054794520548</v>
      </c>
      <c r="F63" s="507">
        <v>1</v>
      </c>
      <c r="G63" s="507"/>
    </row>
    <row r="64" spans="2:7" ht="20.149999999999999" customHeight="1" outlineLevel="1" x14ac:dyDescent="0.35">
      <c r="B64" s="239" t="s">
        <v>593</v>
      </c>
      <c r="C64" s="240"/>
      <c r="D64" s="241">
        <v>5</v>
      </c>
      <c r="E64" s="241">
        <v>1.4265981735159818</v>
      </c>
      <c r="F64" s="507">
        <v>1</v>
      </c>
      <c r="G64" s="507"/>
    </row>
    <row r="65" spans="2:7" ht="20.149999999999999" customHeight="1" outlineLevel="1" x14ac:dyDescent="0.35">
      <c r="B65" s="239" t="s">
        <v>796</v>
      </c>
      <c r="C65" s="240"/>
      <c r="D65" s="241">
        <v>5</v>
      </c>
      <c r="E65" s="241">
        <v>1.1578767123287672</v>
      </c>
      <c r="F65" s="507">
        <v>1</v>
      </c>
      <c r="G65" s="507"/>
    </row>
    <row r="66" spans="2:7" ht="20.149999999999999" customHeight="1" outlineLevel="1" x14ac:dyDescent="0.35">
      <c r="B66" s="239" t="s">
        <v>599</v>
      </c>
      <c r="C66" s="240"/>
      <c r="D66" s="241">
        <v>5</v>
      </c>
      <c r="E66" s="241">
        <v>1.1568493150684931</v>
      </c>
      <c r="F66" s="507">
        <v>1</v>
      </c>
      <c r="G66" s="507"/>
    </row>
    <row r="67" spans="2:7" ht="20.149999999999999" customHeight="1" outlineLevel="1" x14ac:dyDescent="0.35">
      <c r="B67" s="239" t="s">
        <v>594</v>
      </c>
      <c r="C67" s="240"/>
      <c r="D67" s="241">
        <v>5</v>
      </c>
      <c r="E67" s="241">
        <v>1.4227168949771689</v>
      </c>
      <c r="F67" s="507">
        <v>1</v>
      </c>
      <c r="G67" s="507"/>
    </row>
    <row r="68" spans="2:7" ht="20.149999999999999" customHeight="1" outlineLevel="1" x14ac:dyDescent="0.35">
      <c r="B68" s="239" t="s">
        <v>601</v>
      </c>
      <c r="C68" s="240"/>
      <c r="D68" s="241">
        <v>4</v>
      </c>
      <c r="E68" s="241">
        <v>1.0869863013698631</v>
      </c>
      <c r="F68" s="507">
        <v>1</v>
      </c>
      <c r="G68" s="507"/>
    </row>
    <row r="69" spans="2:7" ht="20.149999999999999" customHeight="1" outlineLevel="1" x14ac:dyDescent="0.35">
      <c r="B69" s="239" t="s">
        <v>602</v>
      </c>
      <c r="C69" s="240"/>
      <c r="D69" s="241">
        <v>3</v>
      </c>
      <c r="E69" s="241">
        <v>0.89075342465753427</v>
      </c>
      <c r="F69" s="507">
        <v>1</v>
      </c>
      <c r="G69" s="507"/>
    </row>
    <row r="70" spans="2:7" ht="20.149999999999999" customHeight="1" outlineLevel="1" x14ac:dyDescent="0.35">
      <c r="B70" s="239" t="s">
        <v>603</v>
      </c>
      <c r="C70" s="240"/>
      <c r="D70" s="241">
        <v>3</v>
      </c>
      <c r="E70" s="241">
        <v>0.71849315068493147</v>
      </c>
      <c r="F70" s="507">
        <v>1</v>
      </c>
      <c r="G70" s="507"/>
    </row>
    <row r="71" spans="2:7" ht="20.149999999999999" customHeight="1" outlineLevel="1" x14ac:dyDescent="0.35">
      <c r="B71" s="239" t="s">
        <v>608</v>
      </c>
      <c r="C71" s="240"/>
      <c r="D71" s="241">
        <v>2.5</v>
      </c>
      <c r="E71" s="241">
        <v>0.5961187214611875</v>
      </c>
      <c r="F71" s="507">
        <v>1</v>
      </c>
      <c r="G71" s="507"/>
    </row>
    <row r="72" spans="2:7" ht="20.149999999999999" customHeight="1" outlineLevel="1" x14ac:dyDescent="0.35">
      <c r="B72" s="239" t="s">
        <v>610</v>
      </c>
      <c r="C72" s="240"/>
      <c r="D72" s="241">
        <v>2.5</v>
      </c>
      <c r="E72" s="241">
        <v>0.61369863013698633</v>
      </c>
      <c r="F72" s="507">
        <v>1</v>
      </c>
      <c r="G72" s="507"/>
    </row>
    <row r="73" spans="2:7" ht="20.149999999999999" customHeight="1" outlineLevel="1" x14ac:dyDescent="0.35">
      <c r="B73" s="239" t="s">
        <v>609</v>
      </c>
      <c r="C73" s="240"/>
      <c r="D73" s="241">
        <v>2.5</v>
      </c>
      <c r="E73" s="241">
        <v>0.62819634703196314</v>
      </c>
      <c r="F73" s="507">
        <v>1</v>
      </c>
      <c r="G73" s="507"/>
    </row>
    <row r="74" spans="2:7" ht="20.149999999999999" customHeight="1" outlineLevel="1" x14ac:dyDescent="0.35">
      <c r="B74" s="239" t="s">
        <v>607</v>
      </c>
      <c r="C74" s="240"/>
      <c r="D74" s="241">
        <v>2.5</v>
      </c>
      <c r="E74" s="241">
        <v>0.65672260273972605</v>
      </c>
      <c r="F74" s="507">
        <v>1</v>
      </c>
      <c r="G74" s="507"/>
    </row>
    <row r="75" spans="2:7" ht="20.149999999999999" customHeight="1" outlineLevel="1" x14ac:dyDescent="0.35">
      <c r="B75" s="239" t="s">
        <v>797</v>
      </c>
      <c r="C75" s="240"/>
      <c r="D75" s="241">
        <v>2.5</v>
      </c>
      <c r="E75" s="241">
        <v>0.62808219178082192</v>
      </c>
      <c r="F75" s="507">
        <v>1</v>
      </c>
      <c r="G75" s="507"/>
    </row>
    <row r="76" spans="2:7" ht="20.149999999999999" customHeight="1" outlineLevel="1" x14ac:dyDescent="0.35">
      <c r="B76" s="239" t="s">
        <v>798</v>
      </c>
      <c r="C76" s="240"/>
      <c r="D76" s="241">
        <v>2.5</v>
      </c>
      <c r="E76" s="241">
        <v>0.63344748858447486</v>
      </c>
      <c r="F76" s="507">
        <v>1</v>
      </c>
      <c r="G76" s="507"/>
    </row>
    <row r="77" spans="2:7" ht="20.149999999999999" customHeight="1" outlineLevel="1" x14ac:dyDescent="0.35">
      <c r="B77" s="239" t="s">
        <v>606</v>
      </c>
      <c r="C77" s="240"/>
      <c r="D77" s="241">
        <v>2.5</v>
      </c>
      <c r="E77" s="241">
        <v>0.69817351598173516</v>
      </c>
      <c r="F77" s="507">
        <v>1</v>
      </c>
      <c r="G77" s="507"/>
    </row>
    <row r="78" spans="2:7" ht="20.149999999999999" customHeight="1" outlineLevel="1" x14ac:dyDescent="0.35">
      <c r="B78" s="239" t="s">
        <v>604</v>
      </c>
      <c r="C78" s="240"/>
      <c r="D78" s="241">
        <v>2.5</v>
      </c>
      <c r="E78" s="241">
        <v>0.74212328767123292</v>
      </c>
      <c r="F78" s="507">
        <v>1</v>
      </c>
      <c r="G78" s="507"/>
    </row>
    <row r="79" spans="2:7" ht="20.149999999999999" customHeight="1" outlineLevel="1" x14ac:dyDescent="0.35">
      <c r="B79" s="239" t="s">
        <v>605</v>
      </c>
      <c r="C79" s="240"/>
      <c r="D79" s="241">
        <v>2.5</v>
      </c>
      <c r="E79" s="241">
        <v>0.73219178082191783</v>
      </c>
      <c r="F79" s="507">
        <v>1</v>
      </c>
      <c r="G79" s="507"/>
    </row>
    <row r="80" spans="2:7" ht="20.149999999999999" customHeight="1" outlineLevel="1" x14ac:dyDescent="0.35">
      <c r="B80" s="239" t="s">
        <v>799</v>
      </c>
      <c r="C80" s="240"/>
      <c r="D80" s="241">
        <v>2.5</v>
      </c>
      <c r="E80" s="241">
        <v>0.70662100456621002</v>
      </c>
      <c r="F80" s="507">
        <v>1</v>
      </c>
      <c r="G80" s="507"/>
    </row>
    <row r="81" spans="2:7" ht="20.149999999999999" customHeight="1" outlineLevel="1" x14ac:dyDescent="0.35">
      <c r="B81" s="239" t="s">
        <v>800</v>
      </c>
      <c r="C81" s="240"/>
      <c r="D81" s="241">
        <v>2.5</v>
      </c>
      <c r="E81" s="241">
        <v>0.70525114155251145</v>
      </c>
      <c r="F81" s="507">
        <v>1</v>
      </c>
      <c r="G81" s="507"/>
    </row>
    <row r="82" spans="2:7" ht="20.149999999999999" customHeight="1" outlineLevel="1" x14ac:dyDescent="0.35">
      <c r="B82" s="239" t="s">
        <v>801</v>
      </c>
      <c r="C82" s="240"/>
      <c r="D82" s="241">
        <v>2.5</v>
      </c>
      <c r="E82" s="241">
        <v>0.71563926940639266</v>
      </c>
      <c r="F82" s="507">
        <v>1</v>
      </c>
      <c r="G82" s="507"/>
    </row>
    <row r="83" spans="2:7" ht="20.149999999999999" customHeight="1" outlineLevel="1" x14ac:dyDescent="0.35">
      <c r="B83" s="239" t="s">
        <v>611</v>
      </c>
      <c r="C83" s="240"/>
      <c r="D83" s="241">
        <v>2.4500000000000002</v>
      </c>
      <c r="E83" s="241">
        <v>0.55182648401826484</v>
      </c>
      <c r="F83" s="507">
        <v>1</v>
      </c>
      <c r="G83" s="507"/>
    </row>
    <row r="84" spans="2:7" ht="20.149999999999999" customHeight="1" outlineLevel="1" x14ac:dyDescent="0.35">
      <c r="B84" s="424" t="s">
        <v>612</v>
      </c>
      <c r="C84" s="425"/>
      <c r="D84" s="426">
        <v>2.4500000000000002</v>
      </c>
      <c r="E84" s="426">
        <v>0.55182648401826484</v>
      </c>
      <c r="F84" s="507">
        <v>1</v>
      </c>
      <c r="G84" s="507"/>
    </row>
    <row r="85" spans="2:7" ht="20.149999999999999" customHeight="1" outlineLevel="1" x14ac:dyDescent="0.35">
      <c r="B85" s="424" t="s">
        <v>613</v>
      </c>
      <c r="C85" s="425"/>
      <c r="D85" s="426">
        <v>2.4500000000000002</v>
      </c>
      <c r="E85" s="426">
        <v>0.54452054794520544</v>
      </c>
      <c r="F85" s="507">
        <v>1</v>
      </c>
      <c r="G85" s="507"/>
    </row>
    <row r="86" spans="2:7" ht="20.149999999999999" customHeight="1" outlineLevel="1" x14ac:dyDescent="0.35">
      <c r="B86" s="424" t="s">
        <v>614</v>
      </c>
      <c r="C86" s="425"/>
      <c r="D86" s="426">
        <v>2.4500000000000002</v>
      </c>
      <c r="E86" s="426">
        <v>0.54452054794520544</v>
      </c>
      <c r="F86" s="507">
        <v>1</v>
      </c>
      <c r="G86" s="507"/>
    </row>
    <row r="87" spans="2:7" ht="20.149999999999999" customHeight="1" outlineLevel="1" x14ac:dyDescent="0.35">
      <c r="B87" s="424" t="s">
        <v>802</v>
      </c>
      <c r="C87" s="425"/>
      <c r="D87" s="426">
        <v>2.375</v>
      </c>
      <c r="E87" s="426">
        <v>0.59634703196347028</v>
      </c>
      <c r="F87" s="507">
        <v>1</v>
      </c>
      <c r="G87" s="507"/>
    </row>
    <row r="88" spans="2:7" ht="20.149999999999999" customHeight="1" outlineLevel="1" x14ac:dyDescent="0.35">
      <c r="B88" s="424" t="s">
        <v>803</v>
      </c>
      <c r="C88" s="425"/>
      <c r="D88" s="426">
        <v>2.375</v>
      </c>
      <c r="E88" s="426">
        <v>0.53565156219178078</v>
      </c>
      <c r="F88" s="507">
        <v>1</v>
      </c>
      <c r="G88" s="507"/>
    </row>
    <row r="89" spans="2:7" ht="20.149999999999999" customHeight="1" outlineLevel="1" x14ac:dyDescent="0.35">
      <c r="B89" s="424" t="s">
        <v>804</v>
      </c>
      <c r="C89" s="425"/>
      <c r="D89" s="426">
        <v>2.375</v>
      </c>
      <c r="E89" s="426">
        <v>0.60742009132420094</v>
      </c>
      <c r="F89" s="507">
        <v>1</v>
      </c>
      <c r="G89" s="507"/>
    </row>
    <row r="90" spans="2:7" ht="20.149999999999999" customHeight="1" outlineLevel="1" x14ac:dyDescent="0.35">
      <c r="B90" s="424" t="s">
        <v>805</v>
      </c>
      <c r="C90" s="425"/>
      <c r="D90" s="426">
        <v>2.25</v>
      </c>
      <c r="E90" s="426">
        <v>0.56484018264840186</v>
      </c>
      <c r="F90" s="507">
        <v>1</v>
      </c>
      <c r="G90" s="507"/>
    </row>
    <row r="91" spans="2:7" ht="20.149999999999999" customHeight="1" outlineLevel="1" x14ac:dyDescent="0.35">
      <c r="B91" s="424" t="s">
        <v>615</v>
      </c>
      <c r="C91" s="425"/>
      <c r="D91" s="426">
        <v>2.1</v>
      </c>
      <c r="E91" s="426">
        <v>0.46244292237442924</v>
      </c>
      <c r="F91" s="507">
        <v>1</v>
      </c>
      <c r="G91" s="507"/>
    </row>
    <row r="92" spans="2:7" ht="20.149999999999999" customHeight="1" outlineLevel="1" x14ac:dyDescent="0.35">
      <c r="B92" s="424" t="s">
        <v>616</v>
      </c>
      <c r="C92" s="425"/>
      <c r="D92" s="426">
        <v>2.1</v>
      </c>
      <c r="E92" s="426">
        <v>0.46244292237442924</v>
      </c>
      <c r="F92" s="507">
        <v>1</v>
      </c>
      <c r="G92" s="507"/>
    </row>
    <row r="93" spans="2:7" ht="20.149999999999999" customHeight="1" outlineLevel="1" x14ac:dyDescent="0.35">
      <c r="B93" s="424" t="s">
        <v>617</v>
      </c>
      <c r="C93" s="425"/>
      <c r="D93" s="426">
        <v>2</v>
      </c>
      <c r="E93" s="426">
        <v>0.48938356164383573</v>
      </c>
      <c r="F93" s="507">
        <v>1</v>
      </c>
      <c r="G93" s="507"/>
    </row>
    <row r="94" spans="2:7" ht="20.149999999999999" customHeight="1" outlineLevel="1" x14ac:dyDescent="0.35">
      <c r="B94" s="424" t="s">
        <v>806</v>
      </c>
      <c r="C94" s="425"/>
      <c r="D94" s="426">
        <v>1.5</v>
      </c>
      <c r="E94" s="426">
        <v>0.37545662100456623</v>
      </c>
      <c r="F94" s="507">
        <v>1</v>
      </c>
      <c r="G94" s="507"/>
    </row>
    <row r="95" spans="2:7" ht="20.149999999999999" customHeight="1" outlineLevel="1" x14ac:dyDescent="0.35">
      <c r="B95" s="424" t="s">
        <v>807</v>
      </c>
      <c r="C95" s="425"/>
      <c r="D95" s="426">
        <v>1</v>
      </c>
      <c r="E95" s="426">
        <v>0.23123917460273974</v>
      </c>
      <c r="F95" s="507">
        <v>1</v>
      </c>
      <c r="G95" s="507"/>
    </row>
    <row r="96" spans="2:7" ht="20.149999999999999" customHeight="1" outlineLevel="1" x14ac:dyDescent="0.35">
      <c r="B96" s="424" t="s">
        <v>808</v>
      </c>
      <c r="C96" s="425"/>
      <c r="D96" s="426">
        <v>1</v>
      </c>
      <c r="E96" s="426">
        <v>0.22715805483740487</v>
      </c>
      <c r="F96" s="507">
        <v>1</v>
      </c>
      <c r="G96" s="507"/>
    </row>
    <row r="97" spans="2:7" ht="20.149999999999999" customHeight="1" outlineLevel="1" x14ac:dyDescent="0.35">
      <c r="B97" s="424" t="s">
        <v>809</v>
      </c>
      <c r="C97" s="425"/>
      <c r="D97" s="426">
        <v>1</v>
      </c>
      <c r="E97" s="426">
        <v>0.24942922374429224</v>
      </c>
      <c r="F97" s="507">
        <v>1</v>
      </c>
      <c r="G97" s="507"/>
    </row>
    <row r="98" spans="2:7" ht="20.149999999999999" customHeight="1" outlineLevel="1" x14ac:dyDescent="0.35">
      <c r="B98" s="424" t="s">
        <v>810</v>
      </c>
      <c r="C98" s="425"/>
      <c r="D98" s="426">
        <v>1</v>
      </c>
      <c r="E98" s="426">
        <v>0.25045662100456623</v>
      </c>
      <c r="F98" s="507">
        <v>1</v>
      </c>
      <c r="G98" s="507"/>
    </row>
    <row r="99" spans="2:7" ht="20.149999999999999" customHeight="1" outlineLevel="1" x14ac:dyDescent="0.35">
      <c r="B99" s="424" t="s">
        <v>618</v>
      </c>
      <c r="C99" s="425"/>
      <c r="D99" s="426">
        <v>1</v>
      </c>
      <c r="E99" s="426">
        <v>0.29440639269406393</v>
      </c>
      <c r="F99" s="507">
        <v>1</v>
      </c>
      <c r="G99" s="507"/>
    </row>
    <row r="100" spans="2:7" ht="20.149999999999999" customHeight="1" outlineLevel="1" x14ac:dyDescent="0.35">
      <c r="B100" s="424" t="s">
        <v>811</v>
      </c>
      <c r="C100" s="425"/>
      <c r="D100" s="426">
        <v>1</v>
      </c>
      <c r="E100" s="426">
        <v>0.2965753424657534</v>
      </c>
      <c r="F100" s="507">
        <v>1</v>
      </c>
      <c r="G100" s="507"/>
    </row>
    <row r="101" spans="2:7" ht="30" customHeight="1" x14ac:dyDescent="0.35">
      <c r="B101" s="39" t="s">
        <v>569</v>
      </c>
      <c r="C101" s="39"/>
      <c r="D101" s="93">
        <f>D102</f>
        <v>14.51</v>
      </c>
      <c r="E101" s="93">
        <f>E102</f>
        <v>3.5638951909110297</v>
      </c>
      <c r="F101" s="39"/>
      <c r="G101" s="39"/>
    </row>
    <row r="102" spans="2:7" ht="25" customHeight="1" outlineLevel="1" x14ac:dyDescent="0.35">
      <c r="B102" s="95" t="s">
        <v>565</v>
      </c>
      <c r="C102" s="96"/>
      <c r="D102" s="97">
        <f>SUM(D103:D105)</f>
        <v>14.51</v>
      </c>
      <c r="E102" s="97">
        <f>SUM(E103:E105)</f>
        <v>3.5638951909110297</v>
      </c>
      <c r="F102" s="98"/>
      <c r="G102" s="98"/>
    </row>
    <row r="103" spans="2:7" ht="19" customHeight="1" outlineLevel="1" x14ac:dyDescent="0.35">
      <c r="B103" s="442" t="s">
        <v>619</v>
      </c>
      <c r="C103" s="235"/>
      <c r="D103" s="236">
        <v>6.7549999999999999</v>
      </c>
      <c r="E103" s="236">
        <v>1.5974031113029454</v>
      </c>
      <c r="F103" s="511">
        <v>1</v>
      </c>
      <c r="G103" s="511"/>
    </row>
    <row r="104" spans="2:7" ht="20.149999999999999" customHeight="1" outlineLevel="1" x14ac:dyDescent="0.35">
      <c r="B104" s="239" t="s">
        <v>620</v>
      </c>
      <c r="C104" s="240"/>
      <c r="D104" s="241">
        <v>6.7549999999999999</v>
      </c>
      <c r="E104" s="241">
        <v>1.5974031113029454</v>
      </c>
      <c r="F104" s="507">
        <v>1</v>
      </c>
      <c r="G104" s="507"/>
    </row>
    <row r="105" spans="2:7" ht="20.149999999999999" customHeight="1" outlineLevel="1" x14ac:dyDescent="0.35">
      <c r="B105" s="245" t="s">
        <v>621</v>
      </c>
      <c r="C105" s="246"/>
      <c r="D105" s="247">
        <v>1</v>
      </c>
      <c r="E105" s="247">
        <v>0.36908896830513865</v>
      </c>
      <c r="F105" s="514">
        <v>1</v>
      </c>
      <c r="G105" s="514"/>
    </row>
    <row r="106" spans="2:7" ht="30" customHeight="1" thickBot="1" x14ac:dyDescent="0.4">
      <c r="B106" s="213" t="s">
        <v>622</v>
      </c>
      <c r="C106" s="214"/>
      <c r="D106" s="215">
        <f>SUM(D54,D101)</f>
        <v>147.38499999999999</v>
      </c>
      <c r="E106" s="215">
        <f>SUM(E54,E101)</f>
        <v>38.263753343273549</v>
      </c>
      <c r="F106" s="214"/>
      <c r="G106" s="214"/>
    </row>
    <row r="107" spans="2:7" ht="14.5" customHeight="1" x14ac:dyDescent="0.35"/>
    <row r="108" spans="2:7" ht="40" customHeight="1" x14ac:dyDescent="0.35">
      <c r="B108" s="105" t="s">
        <v>440</v>
      </c>
      <c r="C108" s="106"/>
      <c r="D108" s="463">
        <f>SUM(D106,D51)</f>
        <v>4819.0183999999999</v>
      </c>
      <c r="E108" s="463">
        <f>SUM(E106,E51)</f>
        <v>2184.0397533432742</v>
      </c>
      <c r="F108" s="513"/>
      <c r="G108" s="513"/>
    </row>
    <row r="110" spans="2:7" ht="19" customHeight="1" x14ac:dyDescent="0.35">
      <c r="B110" s="512" t="s">
        <v>623</v>
      </c>
      <c r="C110" s="512"/>
    </row>
  </sheetData>
  <mergeCells count="53">
    <mergeCell ref="F98:G98"/>
    <mergeCell ref="F99:G99"/>
    <mergeCell ref="F100:G100"/>
    <mergeCell ref="F92:G92"/>
    <mergeCell ref="F93:G93"/>
    <mergeCell ref="F94:G94"/>
    <mergeCell ref="F95:G95"/>
    <mergeCell ref="F96:G96"/>
    <mergeCell ref="B110:C110"/>
    <mergeCell ref="F82:G82"/>
    <mergeCell ref="F83:G83"/>
    <mergeCell ref="F108:G108"/>
    <mergeCell ref="F103:G103"/>
    <mergeCell ref="F104:G104"/>
    <mergeCell ref="F105:G105"/>
    <mergeCell ref="F84:G84"/>
    <mergeCell ref="F85:G85"/>
    <mergeCell ref="F86:G86"/>
    <mergeCell ref="F87:G87"/>
    <mergeCell ref="F88:G88"/>
    <mergeCell ref="F89:G89"/>
    <mergeCell ref="F90:G90"/>
    <mergeCell ref="F91:G91"/>
    <mergeCell ref="F97:G97"/>
    <mergeCell ref="H4:H5"/>
    <mergeCell ref="F77:G77"/>
    <mergeCell ref="F78:G78"/>
    <mergeCell ref="F79:G79"/>
    <mergeCell ref="F80:G80"/>
    <mergeCell ref="F67:G67"/>
    <mergeCell ref="F68:G68"/>
    <mergeCell ref="F69:G69"/>
    <mergeCell ref="F70:G70"/>
    <mergeCell ref="F71:G71"/>
    <mergeCell ref="B4:G5"/>
    <mergeCell ref="F53:G53"/>
    <mergeCell ref="F56:G56"/>
    <mergeCell ref="F57:G57"/>
    <mergeCell ref="F58:G58"/>
    <mergeCell ref="F59:G59"/>
    <mergeCell ref="F81:G81"/>
    <mergeCell ref="F72:G72"/>
    <mergeCell ref="F73:G73"/>
    <mergeCell ref="F74:G74"/>
    <mergeCell ref="F75:G75"/>
    <mergeCell ref="F76:G76"/>
    <mergeCell ref="F65:G65"/>
    <mergeCell ref="F66:G66"/>
    <mergeCell ref="F60:G60"/>
    <mergeCell ref="F61:G61"/>
    <mergeCell ref="F62:G62"/>
    <mergeCell ref="F63:G63"/>
    <mergeCell ref="F64:G6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A3F5-303A-40B0-86F8-786750E386BD}">
  <sheetPr>
    <tabColor rgb="FF17772E"/>
  </sheetPr>
  <dimension ref="B1:N72"/>
  <sheetViews>
    <sheetView showGridLines="0" zoomScaleNormal="100" workbookViewId="0"/>
  </sheetViews>
  <sheetFormatPr defaultRowHeight="14.5" x14ac:dyDescent="0.35"/>
  <cols>
    <col min="1" max="1" width="3.7265625" customWidth="1"/>
    <col min="2" max="2" width="42.7265625" customWidth="1"/>
    <col min="3" max="3" width="15.54296875" customWidth="1"/>
    <col min="4" max="5" width="10.54296875" customWidth="1"/>
    <col min="6" max="6" width="42.7265625" customWidth="1"/>
    <col min="7" max="7" width="15.54296875" customWidth="1"/>
  </cols>
  <sheetData>
    <row r="1" spans="2:14" ht="9" customHeight="1" x14ac:dyDescent="0.35"/>
    <row r="5" spans="2:14" ht="45.65" customHeight="1" x14ac:dyDescent="0.35">
      <c r="B5" s="481" t="s">
        <v>624</v>
      </c>
      <c r="C5" s="481"/>
      <c r="D5" s="481"/>
      <c r="E5" s="481"/>
      <c r="F5" s="481"/>
      <c r="G5" s="481"/>
      <c r="H5" s="152"/>
      <c r="I5" s="152"/>
      <c r="J5" s="152"/>
      <c r="K5" s="152"/>
      <c r="L5" s="152"/>
      <c r="M5" s="152"/>
      <c r="N5" s="152"/>
    </row>
    <row r="6" spans="2:14" ht="10" customHeight="1" x14ac:dyDescent="0.35"/>
    <row r="7" spans="2:14" ht="40" customHeight="1" x14ac:dyDescent="0.35">
      <c r="B7" s="479" t="s">
        <v>1</v>
      </c>
      <c r="C7" s="479"/>
      <c r="D7" s="479"/>
      <c r="E7" s="479"/>
      <c r="F7" s="479"/>
      <c r="G7" s="479"/>
      <c r="H7" s="29"/>
      <c r="I7" s="29"/>
      <c r="J7" s="29"/>
      <c r="K7" s="29"/>
      <c r="L7" s="29"/>
      <c r="M7" s="29"/>
      <c r="N7" s="29"/>
    </row>
    <row r="8" spans="2:14" ht="10" customHeight="1" x14ac:dyDescent="0.35"/>
    <row r="9" spans="2:14" ht="32.15" customHeight="1" x14ac:dyDescent="0.35">
      <c r="B9" s="287" t="s">
        <v>625</v>
      </c>
      <c r="C9" s="288" t="s">
        <v>626</v>
      </c>
      <c r="F9" s="287" t="s">
        <v>627</v>
      </c>
      <c r="G9" s="288" t="s">
        <v>626</v>
      </c>
    </row>
    <row r="10" spans="2:14" ht="23.15" customHeight="1" x14ac:dyDescent="0.35">
      <c r="B10" s="289" t="s">
        <v>628</v>
      </c>
      <c r="C10" s="290">
        <f>IFERROR(SUM(C11:C13),0)</f>
        <v>2334.2698592409997</v>
      </c>
      <c r="F10" s="289" t="s">
        <v>629</v>
      </c>
      <c r="G10" s="290">
        <v>23983.902469307999</v>
      </c>
    </row>
    <row r="11" spans="2:14" ht="18" customHeight="1" x14ac:dyDescent="0.35">
      <c r="B11" s="291" t="s">
        <v>630</v>
      </c>
      <c r="C11" s="292">
        <v>2033.8576519889998</v>
      </c>
      <c r="F11" s="291"/>
      <c r="G11" s="292"/>
    </row>
    <row r="12" spans="2:14" ht="23.15" customHeight="1" x14ac:dyDescent="0.35">
      <c r="B12" s="291" t="s">
        <v>631</v>
      </c>
      <c r="C12" s="292">
        <v>351.55879733299992</v>
      </c>
      <c r="F12" s="289" t="s">
        <v>632</v>
      </c>
      <c r="G12" s="290">
        <v>1903</v>
      </c>
    </row>
    <row r="13" spans="2:14" ht="18" customHeight="1" x14ac:dyDescent="0.35">
      <c r="B13" s="291" t="s">
        <v>633</v>
      </c>
      <c r="C13" s="433">
        <v>-51.146590080999992</v>
      </c>
      <c r="F13" s="291"/>
      <c r="G13" s="292"/>
    </row>
    <row r="14" spans="2:14" ht="23.15" customHeight="1" x14ac:dyDescent="0.35">
      <c r="B14" s="293"/>
      <c r="C14" s="292"/>
      <c r="F14" s="289" t="s">
        <v>634</v>
      </c>
      <c r="G14" s="290">
        <v>128</v>
      </c>
    </row>
    <row r="15" spans="2:14" ht="25" customHeight="1" x14ac:dyDescent="0.35">
      <c r="B15" s="294" t="s">
        <v>635</v>
      </c>
      <c r="C15" s="295">
        <f>IFERROR(SUM(C16:C24),0)</f>
        <v>23681.074147442996</v>
      </c>
      <c r="F15" s="298" t="s">
        <v>440</v>
      </c>
      <c r="G15" s="299">
        <f>IFERROR(SUM(G14,G12,G10),0)</f>
        <v>26014.902469307999</v>
      </c>
    </row>
    <row r="16" spans="2:14" ht="23.15" customHeight="1" x14ac:dyDescent="0.35">
      <c r="B16" s="291" t="s">
        <v>636</v>
      </c>
      <c r="C16" s="292">
        <v>1276.324973456</v>
      </c>
      <c r="F16" s="135"/>
      <c r="G16" s="27"/>
    </row>
    <row r="17" spans="2:7" ht="23.15" customHeight="1" x14ac:dyDescent="0.35">
      <c r="B17" s="291" t="s">
        <v>836</v>
      </c>
      <c r="C17" s="292">
        <v>4639.3478054329998</v>
      </c>
      <c r="F17" s="135"/>
      <c r="G17" s="27"/>
    </row>
    <row r="18" spans="2:7" ht="23.15" customHeight="1" x14ac:dyDescent="0.35">
      <c r="B18" s="291" t="s">
        <v>637</v>
      </c>
      <c r="C18" s="292">
        <v>417.96813904600003</v>
      </c>
    </row>
    <row r="19" spans="2:7" ht="23.15" customHeight="1" x14ac:dyDescent="0.35">
      <c r="B19" s="291" t="s">
        <v>638</v>
      </c>
      <c r="C19" s="292">
        <v>5089.3529113679997</v>
      </c>
      <c r="E19" s="1"/>
    </row>
    <row r="20" spans="2:7" ht="23.15" customHeight="1" x14ac:dyDescent="0.35">
      <c r="B20" s="291" t="s">
        <v>639</v>
      </c>
      <c r="C20" s="292">
        <v>8915.7835743859996</v>
      </c>
    </row>
    <row r="21" spans="2:7" ht="23.15" customHeight="1" x14ac:dyDescent="0.35">
      <c r="B21" s="291" t="s">
        <v>640</v>
      </c>
      <c r="C21" s="292">
        <v>164.78307575399998</v>
      </c>
    </row>
    <row r="22" spans="2:7" ht="23.15" customHeight="1" x14ac:dyDescent="0.35">
      <c r="B22" s="291" t="s">
        <v>641</v>
      </c>
      <c r="C22" s="292">
        <v>832.56666800000005</v>
      </c>
    </row>
    <row r="23" spans="2:7" ht="23.15" customHeight="1" x14ac:dyDescent="0.35">
      <c r="B23" s="291" t="s">
        <v>835</v>
      </c>
      <c r="C23" s="292">
        <v>2206.9470000000001</v>
      </c>
    </row>
    <row r="24" spans="2:7" ht="23.15" customHeight="1" x14ac:dyDescent="0.35">
      <c r="B24" s="296" t="s">
        <v>837</v>
      </c>
      <c r="C24" s="297">
        <v>138</v>
      </c>
    </row>
    <row r="25" spans="2:7" ht="25" customHeight="1" x14ac:dyDescent="0.35">
      <c r="B25" s="298" t="s">
        <v>440</v>
      </c>
      <c r="C25" s="299">
        <f>IFERROR(SUM(C15,C10),0)</f>
        <v>26015.344006683998</v>
      </c>
    </row>
    <row r="26" spans="2:7" ht="10" customHeight="1" x14ac:dyDescent="0.35"/>
    <row r="27" spans="2:7" ht="22" customHeight="1" x14ac:dyDescent="0.35">
      <c r="B27" s="515" t="s">
        <v>642</v>
      </c>
      <c r="C27" s="515"/>
      <c r="D27" s="515"/>
      <c r="E27" s="515"/>
    </row>
    <row r="28" spans="2:7" ht="18" customHeight="1" x14ac:dyDescent="0.35">
      <c r="B28" s="285"/>
      <c r="C28" s="285"/>
      <c r="D28" s="285"/>
      <c r="E28" s="285"/>
    </row>
    <row r="29" spans="2:7" ht="18" customHeight="1" x14ac:dyDescent="0.35"/>
    <row r="30" spans="2:7" ht="40" customHeight="1" x14ac:dyDescent="0.35">
      <c r="B30" s="479" t="s">
        <v>98</v>
      </c>
      <c r="C30" s="479"/>
      <c r="D30" s="479"/>
      <c r="E30" s="479"/>
      <c r="F30" s="479"/>
      <c r="G30" s="479"/>
    </row>
    <row r="31" spans="2:7" ht="10" customHeight="1" x14ac:dyDescent="0.35"/>
    <row r="32" spans="2:7" ht="32.15" customHeight="1" x14ac:dyDescent="0.35">
      <c r="B32" s="287" t="s">
        <v>625</v>
      </c>
      <c r="C32" s="288" t="s">
        <v>626</v>
      </c>
      <c r="F32" s="287" t="s">
        <v>627</v>
      </c>
      <c r="G32" s="288" t="s">
        <v>626</v>
      </c>
    </row>
    <row r="33" spans="2:7" ht="23.15" customHeight="1" x14ac:dyDescent="0.35">
      <c r="B33" s="289" t="s">
        <v>643</v>
      </c>
      <c r="C33" s="290">
        <f>SUM(C34:C39)</f>
        <v>7082.7920316950003</v>
      </c>
      <c r="F33" s="289" t="s">
        <v>644</v>
      </c>
      <c r="G33" s="290">
        <v>7134.9059999999999</v>
      </c>
    </row>
    <row r="34" spans="2:7" ht="23.15" customHeight="1" x14ac:dyDescent="0.35">
      <c r="B34" s="291" t="s">
        <v>636</v>
      </c>
      <c r="C34" s="292">
        <v>1276.324973456</v>
      </c>
      <c r="F34" s="302"/>
      <c r="G34" s="303"/>
    </row>
    <row r="35" spans="2:7" ht="23.15" customHeight="1" x14ac:dyDescent="0.35">
      <c r="B35" s="291" t="s">
        <v>838</v>
      </c>
      <c r="C35" s="292">
        <v>4639.3478054329998</v>
      </c>
      <c r="F35" s="289" t="s">
        <v>645</v>
      </c>
      <c r="G35" s="290">
        <v>1902.8440335779999</v>
      </c>
    </row>
    <row r="36" spans="2:7" ht="23.15" customHeight="1" x14ac:dyDescent="0.35">
      <c r="B36" s="291" t="s">
        <v>646</v>
      </c>
      <c r="C36" s="292">
        <v>125.616934461</v>
      </c>
      <c r="F36" s="302"/>
      <c r="G36" s="303"/>
    </row>
    <row r="37" spans="2:7" ht="23.15" customHeight="1" x14ac:dyDescent="0.35">
      <c r="B37" s="291" t="s">
        <v>647</v>
      </c>
      <c r="C37" s="292">
        <v>59.636229743999998</v>
      </c>
      <c r="F37" s="289" t="s">
        <v>634</v>
      </c>
      <c r="G37" s="290">
        <v>128</v>
      </c>
    </row>
    <row r="38" spans="2:7" ht="23.15" customHeight="1" x14ac:dyDescent="0.35">
      <c r="B38" s="291" t="s">
        <v>648</v>
      </c>
      <c r="C38" s="292">
        <v>149.29942060099998</v>
      </c>
      <c r="F38" s="302"/>
      <c r="G38" s="303"/>
    </row>
    <row r="39" spans="2:7" ht="23.15" customHeight="1" x14ac:dyDescent="0.35">
      <c r="B39" s="291" t="s">
        <v>649</v>
      </c>
      <c r="C39" s="292">
        <v>832.56666800000005</v>
      </c>
      <c r="F39" s="289" t="s">
        <v>650</v>
      </c>
      <c r="G39" s="290">
        <v>2641</v>
      </c>
    </row>
    <row r="40" spans="2:7" ht="23.15" customHeight="1" x14ac:dyDescent="0.35">
      <c r="B40" s="291"/>
      <c r="C40" s="292"/>
      <c r="F40" s="289"/>
      <c r="G40" s="290"/>
    </row>
    <row r="41" spans="2:7" ht="36" customHeight="1" x14ac:dyDescent="0.35">
      <c r="B41" s="300" t="s">
        <v>651</v>
      </c>
      <c r="C41" s="301">
        <v>2206.9470000000001</v>
      </c>
      <c r="F41" s="289" t="s">
        <v>652</v>
      </c>
      <c r="G41" s="290">
        <v>140</v>
      </c>
    </row>
    <row r="42" spans="2:7" ht="25" customHeight="1" x14ac:dyDescent="0.35">
      <c r="B42" s="291"/>
      <c r="C42" s="292"/>
      <c r="F42" s="298" t="s">
        <v>440</v>
      </c>
      <c r="G42" s="299">
        <f>SUM(G41,G39,G37,G35,G33)</f>
        <v>11946.750033577999</v>
      </c>
    </row>
    <row r="43" spans="2:7" ht="23.15" customHeight="1" x14ac:dyDescent="0.35">
      <c r="B43" s="294" t="s">
        <v>638</v>
      </c>
      <c r="C43" s="301">
        <v>2657.1311505610001</v>
      </c>
    </row>
    <row r="44" spans="2:7" ht="23.15" customHeight="1" x14ac:dyDescent="0.35">
      <c r="B44" s="296"/>
      <c r="C44" s="297"/>
    </row>
    <row r="45" spans="2:7" ht="25" customHeight="1" x14ac:dyDescent="0.35">
      <c r="B45" s="298" t="s">
        <v>440</v>
      </c>
      <c r="C45" s="299">
        <f>SUM(C43,C41,C33)</f>
        <v>11946.870182256</v>
      </c>
    </row>
    <row r="46" spans="2:7" ht="18" customHeight="1" x14ac:dyDescent="0.35"/>
    <row r="47" spans="2:7" ht="18" customHeight="1" x14ac:dyDescent="0.35"/>
    <row r="48" spans="2:7" ht="40" customHeight="1" x14ac:dyDescent="0.35">
      <c r="B48" s="479" t="s">
        <v>117</v>
      </c>
      <c r="C48" s="479"/>
      <c r="D48" s="479"/>
      <c r="E48" s="479"/>
      <c r="F48" s="479"/>
      <c r="G48" s="479"/>
    </row>
    <row r="49" spans="2:7" ht="10" customHeight="1" x14ac:dyDescent="0.35"/>
    <row r="50" spans="2:7" ht="32.15" customHeight="1" x14ac:dyDescent="0.35">
      <c r="B50" s="287" t="s">
        <v>625</v>
      </c>
      <c r="C50" s="288" t="s">
        <v>626</v>
      </c>
      <c r="F50" s="287" t="s">
        <v>625</v>
      </c>
      <c r="G50" s="288" t="s">
        <v>626</v>
      </c>
    </row>
    <row r="51" spans="2:7" ht="23.15" customHeight="1" x14ac:dyDescent="0.35">
      <c r="B51" s="289" t="s">
        <v>653</v>
      </c>
      <c r="C51" s="290">
        <f>SUM(C52:C53)</f>
        <v>1982.7110619079999</v>
      </c>
      <c r="F51" s="289" t="s">
        <v>654</v>
      </c>
      <c r="G51" s="290">
        <f>SUM(G52:G58)</f>
        <v>7925.5311394939999</v>
      </c>
    </row>
    <row r="52" spans="2:7" ht="23.15" customHeight="1" x14ac:dyDescent="0.35">
      <c r="B52" s="291" t="s">
        <v>655</v>
      </c>
      <c r="C52" s="292">
        <v>2033.8576519889998</v>
      </c>
      <c r="F52" s="291" t="s">
        <v>656</v>
      </c>
      <c r="G52" s="292">
        <v>530.56103500000006</v>
      </c>
    </row>
    <row r="53" spans="2:7" ht="23.15" customHeight="1" x14ac:dyDescent="0.35">
      <c r="B53" s="291" t="s">
        <v>633</v>
      </c>
      <c r="C53" s="292">
        <v>-51.146590080999992</v>
      </c>
      <c r="F53" s="291" t="s">
        <v>639</v>
      </c>
      <c r="G53" s="292">
        <v>5596.3281687040007</v>
      </c>
    </row>
    <row r="54" spans="2:7" ht="23.15" customHeight="1" x14ac:dyDescent="0.35">
      <c r="B54" s="291"/>
      <c r="C54" s="292"/>
      <c r="F54" s="291" t="s">
        <v>650</v>
      </c>
      <c r="G54" s="292">
        <v>668.8353660439999</v>
      </c>
    </row>
    <row r="55" spans="2:7" ht="23.15" customHeight="1" x14ac:dyDescent="0.35">
      <c r="B55" s="294" t="s">
        <v>657</v>
      </c>
      <c r="C55" s="301">
        <v>4590.8971586910002</v>
      </c>
      <c r="F55" s="291" t="s">
        <v>658</v>
      </c>
      <c r="G55" s="292">
        <v>566.31905189400004</v>
      </c>
    </row>
    <row r="56" spans="2:7" ht="23.15" customHeight="1" x14ac:dyDescent="0.35">
      <c r="B56" s="291"/>
      <c r="C56" s="292"/>
      <c r="F56" s="291" t="s">
        <v>659</v>
      </c>
      <c r="G56" s="292">
        <v>70.281565115999996</v>
      </c>
    </row>
    <row r="57" spans="2:7" ht="23.15" customHeight="1" x14ac:dyDescent="0.35">
      <c r="B57" s="294" t="s">
        <v>660</v>
      </c>
      <c r="C57" s="301">
        <v>1031.9182851169999</v>
      </c>
      <c r="F57" s="291" t="s">
        <v>661</v>
      </c>
      <c r="G57" s="292">
        <v>92.255618736000002</v>
      </c>
    </row>
    <row r="58" spans="2:7" ht="23.15" customHeight="1" x14ac:dyDescent="0.35">
      <c r="B58" s="291"/>
      <c r="C58" s="292"/>
      <c r="F58" s="291" t="s">
        <v>662</v>
      </c>
      <c r="G58" s="292">
        <v>400.95033400000011</v>
      </c>
    </row>
    <row r="59" spans="2:7" ht="25" customHeight="1" x14ac:dyDescent="0.35">
      <c r="B59" s="294" t="s">
        <v>663</v>
      </c>
      <c r="C59" s="301">
        <v>320.00463377800003</v>
      </c>
      <c r="F59" s="298" t="s">
        <v>440</v>
      </c>
      <c r="G59" s="299">
        <f>G51</f>
        <v>7925.5311394939999</v>
      </c>
    </row>
    <row r="60" spans="2:7" ht="23.15" customHeight="1" x14ac:dyDescent="0.35">
      <c r="B60" s="304"/>
      <c r="C60" s="305"/>
      <c r="F60" s="306"/>
      <c r="G60" s="307"/>
    </row>
    <row r="61" spans="2:7" ht="25" customHeight="1" x14ac:dyDescent="0.35">
      <c r="B61" s="298" t="s">
        <v>440</v>
      </c>
      <c r="C61" s="299">
        <f>SUM(C59,C57,C55,C51)</f>
        <v>7925.5311394939999</v>
      </c>
    </row>
    <row r="62" spans="2:7" ht="18" customHeight="1" x14ac:dyDescent="0.35"/>
    <row r="64" spans="2:7" ht="14.15" customHeight="1" x14ac:dyDescent="0.35">
      <c r="B64" s="516" t="s">
        <v>664</v>
      </c>
      <c r="C64" s="516"/>
      <c r="D64" s="516"/>
      <c r="E64" s="516"/>
    </row>
    <row r="65" spans="2:5" ht="14.15" customHeight="1" x14ac:dyDescent="0.35">
      <c r="B65" s="516" t="s">
        <v>665</v>
      </c>
      <c r="C65" s="516"/>
      <c r="D65" s="516"/>
      <c r="E65" s="516"/>
    </row>
    <row r="66" spans="2:5" ht="14.15" customHeight="1" x14ac:dyDescent="0.35">
      <c r="B66" s="516" t="s">
        <v>666</v>
      </c>
      <c r="C66" s="516"/>
      <c r="D66" s="516"/>
      <c r="E66" s="516"/>
    </row>
    <row r="67" spans="2:5" ht="14.15" customHeight="1" x14ac:dyDescent="0.35">
      <c r="B67" s="516" t="s">
        <v>667</v>
      </c>
      <c r="C67" s="516"/>
      <c r="D67" s="516"/>
      <c r="E67" s="516"/>
    </row>
    <row r="68" spans="2:5" ht="14.15" customHeight="1" x14ac:dyDescent="0.35">
      <c r="B68" s="286" t="s">
        <v>668</v>
      </c>
      <c r="C68" s="286"/>
      <c r="D68" s="286"/>
      <c r="E68" s="286"/>
    </row>
    <row r="69" spans="2:5" ht="14.15" customHeight="1" x14ac:dyDescent="0.35">
      <c r="B69" s="516" t="s">
        <v>669</v>
      </c>
      <c r="C69" s="516"/>
      <c r="D69" s="516"/>
      <c r="E69" s="516"/>
    </row>
    <row r="70" spans="2:5" ht="14.15" customHeight="1" x14ac:dyDescent="0.35">
      <c r="B70" s="516" t="s">
        <v>670</v>
      </c>
      <c r="C70" s="516"/>
      <c r="D70" s="516"/>
      <c r="E70" s="516"/>
    </row>
    <row r="71" spans="2:5" ht="14.15" customHeight="1" x14ac:dyDescent="0.35">
      <c r="B71" s="516" t="s">
        <v>671</v>
      </c>
      <c r="C71" s="516"/>
      <c r="D71" s="516"/>
      <c r="E71" s="516"/>
    </row>
    <row r="72" spans="2:5" ht="14.15" customHeight="1" x14ac:dyDescent="0.35">
      <c r="B72" s="515" t="s">
        <v>672</v>
      </c>
      <c r="C72" s="515"/>
      <c r="D72" s="515"/>
      <c r="E72" s="515"/>
    </row>
  </sheetData>
  <mergeCells count="13">
    <mergeCell ref="B67:E67"/>
    <mergeCell ref="B69:E69"/>
    <mergeCell ref="B48:G48"/>
    <mergeCell ref="B72:E72"/>
    <mergeCell ref="B71:E71"/>
    <mergeCell ref="B70:E70"/>
    <mergeCell ref="B65:E65"/>
    <mergeCell ref="B66:E66"/>
    <mergeCell ref="B5:G5"/>
    <mergeCell ref="B7:G7"/>
    <mergeCell ref="B30:G30"/>
    <mergeCell ref="B27:E27"/>
    <mergeCell ref="B64:E64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6805-4517-4BC6-BE71-6E50490941A8}">
  <sheetPr codeName="Planilha17">
    <tabColor rgb="FF17772E"/>
  </sheetPr>
  <dimension ref="B1:EJ3045"/>
  <sheetViews>
    <sheetView showGridLines="0" zoomScaleNormal="100" workbookViewId="0">
      <selection activeCell="C17" sqref="C17"/>
    </sheetView>
  </sheetViews>
  <sheetFormatPr defaultColWidth="8.7265625" defaultRowHeight="18" customHeight="1" x14ac:dyDescent="0.35"/>
  <cols>
    <col min="1" max="1" width="2.54296875" style="1" customWidth="1"/>
    <col min="2" max="2" width="40.54296875" style="1" customWidth="1"/>
    <col min="3" max="11" width="20.54296875" style="1" customWidth="1"/>
    <col min="12" max="12" width="60.54296875" style="34" customWidth="1"/>
    <col min="13" max="78" width="8.7265625" style="1"/>
    <col min="79" max="79" width="11.81640625" style="1" customWidth="1"/>
    <col min="80" max="80" width="15.453125" style="1" bestFit="1" customWidth="1"/>
    <col min="81" max="81" width="20.453125" style="1" bestFit="1" customWidth="1"/>
    <col min="82" max="82" width="18.7265625" style="1" customWidth="1"/>
    <col min="83" max="83" width="35.26953125" style="1" customWidth="1"/>
    <col min="84" max="84" width="12.54296875" style="1" customWidth="1"/>
    <col min="85" max="85" width="18.54296875" style="1" bestFit="1" customWidth="1"/>
    <col min="86" max="86" width="33" style="1" bestFit="1" customWidth="1"/>
    <col min="87" max="87" width="8.7265625" style="1"/>
    <col min="88" max="88" width="2.1796875" style="1" customWidth="1"/>
    <col min="89" max="89" width="5" style="1" customWidth="1"/>
    <col min="90" max="90" width="43.1796875" style="1" bestFit="1" customWidth="1"/>
    <col min="91" max="140" width="18.54296875" style="1" customWidth="1"/>
    <col min="141" max="142" width="7.81640625" style="1" bestFit="1" customWidth="1"/>
    <col min="143" max="143" width="13.453125" style="1" bestFit="1" customWidth="1"/>
    <col min="144" max="144" width="10.54296875" style="1" bestFit="1" customWidth="1"/>
    <col min="145" max="145" width="4.81640625" style="1" bestFit="1" customWidth="1"/>
    <col min="146" max="149" width="6.81640625" style="1" bestFit="1" customWidth="1"/>
    <col min="150" max="153" width="7.81640625" style="1" bestFit="1" customWidth="1"/>
    <col min="154" max="154" width="13.453125" style="1" bestFit="1" customWidth="1"/>
    <col min="155" max="155" width="10.54296875" style="1" bestFit="1" customWidth="1"/>
    <col min="156" max="158" width="6.81640625" style="1" bestFit="1" customWidth="1"/>
    <col min="159" max="163" width="7.81640625" style="1" bestFit="1" customWidth="1"/>
    <col min="164" max="164" width="6.54296875" style="1" bestFit="1" customWidth="1"/>
    <col min="165" max="165" width="13.453125" style="1" bestFit="1" customWidth="1"/>
    <col min="166" max="166" width="10.54296875" style="1" bestFit="1" customWidth="1"/>
    <col min="167" max="169" width="6.81640625" style="1" bestFit="1" customWidth="1"/>
    <col min="170" max="174" width="7.81640625" style="1" bestFit="1" customWidth="1"/>
    <col min="175" max="175" width="1.54296875" style="1" bestFit="1" customWidth="1"/>
    <col min="176" max="176" width="13.453125" style="1" bestFit="1" customWidth="1"/>
    <col min="177" max="177" width="10.54296875" style="1" bestFit="1" customWidth="1"/>
    <col min="178" max="181" width="6.81640625" style="1" bestFit="1" customWidth="1"/>
    <col min="182" max="185" width="7.81640625" style="1" bestFit="1" customWidth="1"/>
    <col min="186" max="186" width="1.54296875" style="1" bestFit="1" customWidth="1"/>
    <col min="187" max="187" width="13.453125" style="1" bestFit="1" customWidth="1"/>
    <col min="188" max="188" width="10.54296875" style="1" bestFit="1" customWidth="1"/>
    <col min="189" max="192" width="6.81640625" style="1" bestFit="1" customWidth="1"/>
    <col min="193" max="196" width="7.81640625" style="1" bestFit="1" customWidth="1"/>
    <col min="197" max="197" width="1.54296875" style="1" bestFit="1" customWidth="1"/>
    <col min="198" max="198" width="13.453125" style="1" bestFit="1" customWidth="1"/>
    <col min="199" max="199" width="10.54296875" style="1" bestFit="1" customWidth="1"/>
    <col min="200" max="203" width="6.81640625" style="1" bestFit="1" customWidth="1"/>
    <col min="204" max="207" width="7.81640625" style="1" bestFit="1" customWidth="1"/>
    <col min="208" max="208" width="6.54296875" style="1" bestFit="1" customWidth="1"/>
    <col min="209" max="209" width="13.453125" style="1" bestFit="1" customWidth="1"/>
    <col min="210" max="210" width="10.54296875" style="1" bestFit="1" customWidth="1"/>
    <col min="211" max="214" width="6.81640625" style="1" bestFit="1" customWidth="1"/>
    <col min="215" max="218" width="7.81640625" style="1" bestFit="1" customWidth="1"/>
    <col min="219" max="219" width="1.54296875" style="1" bestFit="1" customWidth="1"/>
    <col min="220" max="220" width="13.453125" style="1" bestFit="1" customWidth="1"/>
    <col min="221" max="221" width="10.54296875" style="1" bestFit="1" customWidth="1"/>
    <col min="222" max="225" width="6.81640625" style="1" bestFit="1" customWidth="1"/>
    <col min="226" max="229" width="7.81640625" style="1" bestFit="1" customWidth="1"/>
    <col min="230" max="230" width="1.54296875" style="1" bestFit="1" customWidth="1"/>
    <col min="231" max="231" width="13.453125" style="1" bestFit="1" customWidth="1"/>
    <col min="232" max="232" width="10.54296875" style="1" bestFit="1" customWidth="1"/>
    <col min="233" max="236" width="6.81640625" style="1" bestFit="1" customWidth="1"/>
    <col min="237" max="240" width="7.81640625" style="1" bestFit="1" customWidth="1"/>
    <col min="241" max="241" width="1.54296875" style="1" bestFit="1" customWidth="1"/>
    <col min="242" max="242" width="13.453125" style="1" bestFit="1" customWidth="1"/>
    <col min="243" max="243" width="10.54296875" style="1" bestFit="1" customWidth="1"/>
    <col min="244" max="247" width="6.81640625" style="1" bestFit="1" customWidth="1"/>
    <col min="248" max="251" width="7.81640625" style="1" bestFit="1" customWidth="1"/>
    <col min="252" max="252" width="6.54296875" style="1" bestFit="1" customWidth="1"/>
    <col min="253" max="253" width="13.453125" style="1" bestFit="1" customWidth="1"/>
    <col min="254" max="254" width="10.54296875" style="1" bestFit="1" customWidth="1"/>
    <col min="255" max="257" width="6.81640625" style="1" bestFit="1" customWidth="1"/>
    <col min="258" max="262" width="7.81640625" style="1" bestFit="1" customWidth="1"/>
    <col min="263" max="263" width="1.54296875" style="1" bestFit="1" customWidth="1"/>
    <col min="264" max="264" width="13.453125" style="1" bestFit="1" customWidth="1"/>
    <col min="265" max="265" width="10.54296875" style="1" bestFit="1" customWidth="1"/>
    <col min="266" max="268" width="6.81640625" style="1" bestFit="1" customWidth="1"/>
    <col min="269" max="273" width="7.81640625" style="1" bestFit="1" customWidth="1"/>
    <col min="274" max="274" width="1.54296875" style="1" bestFit="1" customWidth="1"/>
    <col min="275" max="275" width="13.453125" style="1" bestFit="1" customWidth="1"/>
    <col min="276" max="276" width="10.54296875" style="1" bestFit="1" customWidth="1"/>
    <col min="277" max="280" width="6.81640625" style="1" bestFit="1" customWidth="1"/>
    <col min="281" max="284" width="7.81640625" style="1" bestFit="1" customWidth="1"/>
    <col min="285" max="285" width="1.54296875" style="1" bestFit="1" customWidth="1"/>
    <col min="286" max="286" width="13.453125" style="1" bestFit="1" customWidth="1"/>
    <col min="287" max="287" width="10.54296875" style="1" bestFit="1" customWidth="1"/>
    <col min="288" max="291" width="6.81640625" style="1" bestFit="1" customWidth="1"/>
    <col min="292" max="295" width="7.81640625" style="1" bestFit="1" customWidth="1"/>
    <col min="296" max="296" width="6.54296875" style="1" bestFit="1" customWidth="1"/>
    <col min="297" max="297" width="13.453125" style="1" bestFit="1" customWidth="1"/>
    <col min="298" max="298" width="10.54296875" style="1" bestFit="1" customWidth="1"/>
    <col min="299" max="301" width="6.81640625" style="1" bestFit="1" customWidth="1"/>
    <col min="302" max="306" width="7.81640625" style="1" bestFit="1" customWidth="1"/>
    <col min="307" max="307" width="1.54296875" style="1" bestFit="1" customWidth="1"/>
    <col min="308" max="308" width="13.453125" style="1" bestFit="1" customWidth="1"/>
    <col min="309" max="309" width="10.54296875" style="1" bestFit="1" customWidth="1"/>
    <col min="310" max="313" width="6.81640625" style="1" bestFit="1" customWidth="1"/>
    <col min="314" max="317" width="7.81640625" style="1" bestFit="1" customWidth="1"/>
    <col min="318" max="318" width="1.54296875" style="1" bestFit="1" customWidth="1"/>
    <col min="319" max="319" width="13.453125" style="1" bestFit="1" customWidth="1"/>
    <col min="320" max="320" width="10.54296875" style="1" bestFit="1" customWidth="1"/>
    <col min="321" max="324" width="6.81640625" style="1" bestFit="1" customWidth="1"/>
    <col min="325" max="328" width="7.81640625" style="1" bestFit="1" customWidth="1"/>
    <col min="329" max="329" width="1.54296875" style="1" bestFit="1" customWidth="1"/>
    <col min="330" max="330" width="13.453125" style="1" bestFit="1" customWidth="1"/>
    <col min="331" max="331" width="10.1796875" style="1" bestFit="1" customWidth="1"/>
    <col min="332" max="332" width="12.54296875" style="1" bestFit="1" customWidth="1"/>
    <col min="333" max="333" width="9.81640625" style="1" bestFit="1" customWidth="1"/>
    <col min="334" max="334" width="12.54296875" style="1" bestFit="1" customWidth="1"/>
    <col min="335" max="335" width="9.81640625" style="1" bestFit="1" customWidth="1"/>
    <col min="336" max="336" width="12.54296875" style="1" bestFit="1" customWidth="1"/>
    <col min="337" max="337" width="9.81640625" style="1" bestFit="1" customWidth="1"/>
    <col min="338" max="338" width="12.54296875" style="1" bestFit="1" customWidth="1"/>
    <col min="339" max="339" width="9.81640625" style="1" bestFit="1" customWidth="1"/>
    <col min="340" max="340" width="12.54296875" style="1" bestFit="1" customWidth="1"/>
    <col min="341" max="341" width="9.81640625" style="1" bestFit="1" customWidth="1"/>
    <col min="342" max="342" width="12.54296875" style="1" bestFit="1" customWidth="1"/>
    <col min="343" max="343" width="9.81640625" style="1" bestFit="1" customWidth="1"/>
    <col min="344" max="344" width="12.54296875" style="1" bestFit="1" customWidth="1"/>
    <col min="345" max="345" width="9.81640625" style="1" bestFit="1" customWidth="1"/>
    <col min="346" max="346" width="12.54296875" style="1" bestFit="1" customWidth="1"/>
    <col min="347" max="347" width="9.81640625" style="1" bestFit="1" customWidth="1"/>
    <col min="348" max="348" width="12.54296875" style="1" bestFit="1" customWidth="1"/>
    <col min="349" max="349" width="9.81640625" style="1" bestFit="1" customWidth="1"/>
    <col min="350" max="350" width="12.54296875" style="1" bestFit="1" customWidth="1"/>
    <col min="351" max="351" width="9.81640625" style="1" bestFit="1" customWidth="1"/>
    <col min="352" max="352" width="12.54296875" style="1" bestFit="1" customWidth="1"/>
    <col min="353" max="353" width="9.81640625" style="1" bestFit="1" customWidth="1"/>
    <col min="354" max="354" width="12.54296875" style="1" bestFit="1" customWidth="1"/>
    <col min="355" max="355" width="9.81640625" style="1" bestFit="1" customWidth="1"/>
    <col min="356" max="356" width="12.54296875" style="1" bestFit="1" customWidth="1"/>
    <col min="357" max="357" width="9.81640625" style="1" bestFit="1" customWidth="1"/>
    <col min="358" max="358" width="12.54296875" style="1" bestFit="1" customWidth="1"/>
    <col min="359" max="359" width="9.81640625" style="1" bestFit="1" customWidth="1"/>
    <col min="360" max="360" width="12.54296875" style="1" bestFit="1" customWidth="1"/>
    <col min="361" max="361" width="9.81640625" style="1" bestFit="1" customWidth="1"/>
    <col min="362" max="362" width="12.54296875" style="1" bestFit="1" customWidth="1"/>
    <col min="363" max="363" width="9.81640625" style="1" bestFit="1" customWidth="1"/>
    <col min="364" max="364" width="12.54296875" style="1" bestFit="1" customWidth="1"/>
    <col min="365" max="365" width="9.81640625" style="1" bestFit="1" customWidth="1"/>
    <col min="366" max="366" width="12.54296875" style="1" bestFit="1" customWidth="1"/>
    <col min="367" max="367" width="9.81640625" style="1" bestFit="1" customWidth="1"/>
    <col min="368" max="368" width="12.54296875" style="1" bestFit="1" customWidth="1"/>
    <col min="369" max="369" width="9.81640625" style="1" bestFit="1" customWidth="1"/>
    <col min="370" max="370" width="12.54296875" style="1" bestFit="1" customWidth="1"/>
    <col min="371" max="371" width="9.81640625" style="1" bestFit="1" customWidth="1"/>
    <col min="372" max="372" width="12.54296875" style="1" bestFit="1" customWidth="1"/>
    <col min="373" max="373" width="9.81640625" style="1" bestFit="1" customWidth="1"/>
    <col min="374" max="374" width="12.54296875" style="1" bestFit="1" customWidth="1"/>
    <col min="375" max="375" width="9.81640625" style="1" bestFit="1" customWidth="1"/>
    <col min="376" max="376" width="12.54296875" style="1" bestFit="1" customWidth="1"/>
    <col min="377" max="377" width="9.81640625" style="1" bestFit="1" customWidth="1"/>
    <col min="378" max="378" width="12.54296875" style="1" bestFit="1" customWidth="1"/>
    <col min="379" max="379" width="9.81640625" style="1" bestFit="1" customWidth="1"/>
    <col min="380" max="380" width="12.54296875" style="1" bestFit="1" customWidth="1"/>
    <col min="381" max="381" width="9.81640625" style="1" bestFit="1" customWidth="1"/>
    <col min="382" max="382" width="12.54296875" style="1" bestFit="1" customWidth="1"/>
    <col min="383" max="383" width="9.81640625" style="1" bestFit="1" customWidth="1"/>
    <col min="384" max="384" width="12.54296875" style="1" bestFit="1" customWidth="1"/>
    <col min="385" max="385" width="9.81640625" style="1" bestFit="1" customWidth="1"/>
    <col min="386" max="386" width="12.54296875" style="1" bestFit="1" customWidth="1"/>
    <col min="387" max="387" width="9.81640625" style="1" bestFit="1" customWidth="1"/>
    <col min="388" max="388" width="12.54296875" style="1" bestFit="1" customWidth="1"/>
    <col min="389" max="389" width="9.81640625" style="1" bestFit="1" customWidth="1"/>
    <col min="390" max="390" width="12.54296875" style="1" bestFit="1" customWidth="1"/>
    <col min="391" max="391" width="9.81640625" style="1" bestFit="1" customWidth="1"/>
    <col min="392" max="392" width="12.54296875" style="1" bestFit="1" customWidth="1"/>
    <col min="393" max="393" width="9.81640625" style="1" bestFit="1" customWidth="1"/>
    <col min="394" max="394" width="12.54296875" style="1" bestFit="1" customWidth="1"/>
    <col min="395" max="395" width="9.81640625" style="1" bestFit="1" customWidth="1"/>
    <col min="396" max="396" width="12.54296875" style="1" bestFit="1" customWidth="1"/>
    <col min="397" max="397" width="9.81640625" style="1" bestFit="1" customWidth="1"/>
    <col min="398" max="398" width="12.54296875" style="1" bestFit="1" customWidth="1"/>
    <col min="399" max="399" width="9.81640625" style="1" bestFit="1" customWidth="1"/>
    <col min="400" max="400" width="12.54296875" style="1" bestFit="1" customWidth="1"/>
    <col min="401" max="401" width="9.81640625" style="1" bestFit="1" customWidth="1"/>
    <col min="402" max="402" width="12.54296875" style="1" bestFit="1" customWidth="1"/>
    <col min="403" max="403" width="9.81640625" style="1" bestFit="1" customWidth="1"/>
    <col min="404" max="404" width="12.54296875" style="1" bestFit="1" customWidth="1"/>
    <col min="405" max="405" width="9.81640625" style="1" bestFit="1" customWidth="1"/>
    <col min="406" max="406" width="12.54296875" style="1" bestFit="1" customWidth="1"/>
    <col min="407" max="407" width="9.81640625" style="1" bestFit="1" customWidth="1"/>
    <col min="408" max="408" width="12.54296875" style="1" bestFit="1" customWidth="1"/>
    <col min="409" max="409" width="9.81640625" style="1" bestFit="1" customWidth="1"/>
    <col min="410" max="410" width="12.54296875" style="1" bestFit="1" customWidth="1"/>
    <col min="411" max="411" width="9.81640625" style="1" bestFit="1" customWidth="1"/>
    <col min="412" max="412" width="12.54296875" style="1" bestFit="1" customWidth="1"/>
    <col min="413" max="413" width="9.81640625" style="1" bestFit="1" customWidth="1"/>
    <col min="414" max="414" width="12.54296875" style="1" bestFit="1" customWidth="1"/>
    <col min="415" max="415" width="9.81640625" style="1" bestFit="1" customWidth="1"/>
    <col min="416" max="416" width="12.54296875" style="1" bestFit="1" customWidth="1"/>
    <col min="417" max="417" width="9.81640625" style="1" bestFit="1" customWidth="1"/>
    <col min="418" max="418" width="12.54296875" style="1" bestFit="1" customWidth="1"/>
    <col min="419" max="419" width="9.81640625" style="1" bestFit="1" customWidth="1"/>
    <col min="420" max="420" width="12.54296875" style="1" bestFit="1" customWidth="1"/>
    <col min="421" max="421" width="9.81640625" style="1" bestFit="1" customWidth="1"/>
    <col min="422" max="422" width="12.54296875" style="1" bestFit="1" customWidth="1"/>
    <col min="423" max="423" width="9.81640625" style="1" bestFit="1" customWidth="1"/>
    <col min="424" max="424" width="12.54296875" style="1" bestFit="1" customWidth="1"/>
    <col min="425" max="425" width="9.81640625" style="1" bestFit="1" customWidth="1"/>
    <col min="426" max="426" width="12.54296875" style="1" bestFit="1" customWidth="1"/>
    <col min="427" max="427" width="9.81640625" style="1" bestFit="1" customWidth="1"/>
    <col min="428" max="428" width="12.54296875" style="1" bestFit="1" customWidth="1"/>
    <col min="429" max="429" width="9.81640625" style="1" bestFit="1" customWidth="1"/>
    <col min="430" max="430" width="12.54296875" style="1" bestFit="1" customWidth="1"/>
    <col min="431" max="431" width="9.81640625" style="1" bestFit="1" customWidth="1"/>
    <col min="432" max="432" width="12.54296875" style="1" bestFit="1" customWidth="1"/>
    <col min="433" max="433" width="9.81640625" style="1" bestFit="1" customWidth="1"/>
    <col min="434" max="434" width="12.54296875" style="1" bestFit="1" customWidth="1"/>
    <col min="435" max="435" width="9.81640625" style="1" bestFit="1" customWidth="1"/>
    <col min="436" max="436" width="12.54296875" style="1" bestFit="1" customWidth="1"/>
    <col min="437" max="437" width="9.81640625" style="1" bestFit="1" customWidth="1"/>
    <col min="438" max="438" width="12.54296875" style="1" bestFit="1" customWidth="1"/>
    <col min="439" max="439" width="9.81640625" style="1" bestFit="1" customWidth="1"/>
    <col min="440" max="440" width="12.54296875" style="1" bestFit="1" customWidth="1"/>
    <col min="441" max="441" width="9.81640625" style="1" bestFit="1" customWidth="1"/>
    <col min="442" max="442" width="12.54296875" style="1" bestFit="1" customWidth="1"/>
    <col min="443" max="443" width="9.81640625" style="1" bestFit="1" customWidth="1"/>
    <col min="444" max="444" width="12.54296875" style="1" bestFit="1" customWidth="1"/>
    <col min="445" max="445" width="9.81640625" style="1" bestFit="1" customWidth="1"/>
    <col min="446" max="446" width="12.54296875" style="1" bestFit="1" customWidth="1"/>
    <col min="447" max="447" width="9.81640625" style="1" bestFit="1" customWidth="1"/>
    <col min="448" max="448" width="12.54296875" style="1" bestFit="1" customWidth="1"/>
    <col min="449" max="449" width="9.81640625" style="1" bestFit="1" customWidth="1"/>
    <col min="450" max="450" width="12.54296875" style="1" bestFit="1" customWidth="1"/>
    <col min="451" max="451" width="9.81640625" style="1" bestFit="1" customWidth="1"/>
    <col min="452" max="452" width="12.54296875" style="1" bestFit="1" customWidth="1"/>
    <col min="453" max="453" width="9.81640625" style="1" bestFit="1" customWidth="1"/>
    <col min="454" max="454" width="12.54296875" style="1" bestFit="1" customWidth="1"/>
    <col min="455" max="455" width="9.81640625" style="1" bestFit="1" customWidth="1"/>
    <col min="456" max="456" width="12.54296875" style="1" bestFit="1" customWidth="1"/>
    <col min="457" max="457" width="9.81640625" style="1" bestFit="1" customWidth="1"/>
    <col min="458" max="458" width="12.54296875" style="1" bestFit="1" customWidth="1"/>
    <col min="459" max="459" width="9.81640625" style="1" bestFit="1" customWidth="1"/>
    <col min="460" max="460" width="12.54296875" style="1" bestFit="1" customWidth="1"/>
    <col min="461" max="461" width="9.81640625" style="1" bestFit="1" customWidth="1"/>
    <col min="462" max="462" width="12.54296875" style="1" bestFit="1" customWidth="1"/>
    <col min="463" max="463" width="9.81640625" style="1" bestFit="1" customWidth="1"/>
    <col min="464" max="464" width="12.54296875" style="1" bestFit="1" customWidth="1"/>
    <col min="465" max="465" width="9.81640625" style="1" bestFit="1" customWidth="1"/>
    <col min="466" max="466" width="12.54296875" style="1" bestFit="1" customWidth="1"/>
    <col min="467" max="467" width="9.81640625" style="1" bestFit="1" customWidth="1"/>
    <col min="468" max="468" width="12.54296875" style="1" bestFit="1" customWidth="1"/>
    <col min="469" max="469" width="9.81640625" style="1" bestFit="1" customWidth="1"/>
    <col min="470" max="470" width="12.54296875" style="1" bestFit="1" customWidth="1"/>
    <col min="471" max="471" width="9.81640625" style="1" bestFit="1" customWidth="1"/>
    <col min="472" max="472" width="12.54296875" style="1" bestFit="1" customWidth="1"/>
    <col min="473" max="473" width="9.81640625" style="1" bestFit="1" customWidth="1"/>
    <col min="474" max="474" width="12.54296875" style="1" bestFit="1" customWidth="1"/>
    <col min="475" max="475" width="9.81640625" style="1" bestFit="1" customWidth="1"/>
    <col min="476" max="476" width="12.54296875" style="1" bestFit="1" customWidth="1"/>
    <col min="477" max="477" width="9.81640625" style="1" bestFit="1" customWidth="1"/>
    <col min="478" max="478" width="12.54296875" style="1" bestFit="1" customWidth="1"/>
    <col min="479" max="479" width="9.81640625" style="1" bestFit="1" customWidth="1"/>
    <col min="480" max="480" width="12.54296875" style="1" bestFit="1" customWidth="1"/>
    <col min="481" max="481" width="9.81640625" style="1" bestFit="1" customWidth="1"/>
    <col min="482" max="482" width="12.54296875" style="1" bestFit="1" customWidth="1"/>
    <col min="483" max="483" width="9.81640625" style="1" bestFit="1" customWidth="1"/>
    <col min="484" max="484" width="12.54296875" style="1" bestFit="1" customWidth="1"/>
    <col min="485" max="485" width="9.81640625" style="1" bestFit="1" customWidth="1"/>
    <col min="486" max="486" width="12.54296875" style="1" bestFit="1" customWidth="1"/>
    <col min="487" max="487" width="9.81640625" style="1" bestFit="1" customWidth="1"/>
    <col min="488" max="488" width="12.54296875" style="1" bestFit="1" customWidth="1"/>
    <col min="489" max="489" width="9.81640625" style="1" bestFit="1" customWidth="1"/>
    <col min="490" max="490" width="12.54296875" style="1" bestFit="1" customWidth="1"/>
    <col min="491" max="491" width="9.81640625" style="1" bestFit="1" customWidth="1"/>
    <col min="492" max="492" width="12.54296875" style="1" bestFit="1" customWidth="1"/>
    <col min="493" max="493" width="9.81640625" style="1" bestFit="1" customWidth="1"/>
    <col min="494" max="494" width="12.54296875" style="1" bestFit="1" customWidth="1"/>
    <col min="495" max="495" width="9.81640625" style="1" bestFit="1" customWidth="1"/>
    <col min="496" max="496" width="12.54296875" style="1" bestFit="1" customWidth="1"/>
    <col min="497" max="497" width="9.81640625" style="1" bestFit="1" customWidth="1"/>
    <col min="498" max="498" width="12.54296875" style="1" bestFit="1" customWidth="1"/>
    <col min="499" max="499" width="9.81640625" style="1" bestFit="1" customWidth="1"/>
    <col min="500" max="500" width="12.54296875" style="1" bestFit="1" customWidth="1"/>
    <col min="501" max="501" width="9.81640625" style="1" bestFit="1" customWidth="1"/>
    <col min="502" max="502" width="12.54296875" style="1" bestFit="1" customWidth="1"/>
    <col min="503" max="503" width="9.81640625" style="1" bestFit="1" customWidth="1"/>
    <col min="504" max="504" width="12.54296875" style="1" bestFit="1" customWidth="1"/>
    <col min="505" max="518" width="8.54296875" style="1" bestFit="1" customWidth="1"/>
    <col min="519" max="519" width="6.26953125" style="1" bestFit="1" customWidth="1"/>
    <col min="520" max="524" width="8.54296875" style="1" bestFit="1" customWidth="1"/>
    <col min="525" max="525" width="11.26953125" style="1" bestFit="1" customWidth="1"/>
    <col min="526" max="526" width="10.1796875" style="1" bestFit="1" customWidth="1"/>
    <col min="527" max="16384" width="8.7265625" style="1"/>
  </cols>
  <sheetData>
    <row r="1" spans="2:11" ht="9.65" customHeight="1" x14ac:dyDescent="0.35"/>
    <row r="5" spans="2:11" ht="50.15" customHeight="1" x14ac:dyDescent="0.35">
      <c r="B5" s="481" t="s">
        <v>673</v>
      </c>
      <c r="C5" s="481"/>
      <c r="D5" s="481"/>
      <c r="E5" s="481"/>
      <c r="F5" s="481"/>
      <c r="G5" s="481"/>
      <c r="H5" s="481"/>
      <c r="I5" s="481"/>
      <c r="J5" s="481"/>
      <c r="K5" s="481"/>
    </row>
    <row r="6" spans="2:11" ht="10" customHeight="1" x14ac:dyDescent="0.35"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2:11" ht="35.15" customHeight="1" x14ac:dyDescent="0.35">
      <c r="B7" s="518" t="s">
        <v>674</v>
      </c>
      <c r="C7" s="520" t="s">
        <v>675</v>
      </c>
      <c r="D7" s="520"/>
      <c r="E7" s="522"/>
      <c r="F7" s="523" t="s">
        <v>676</v>
      </c>
      <c r="G7" s="520"/>
      <c r="H7" s="522"/>
      <c r="I7" s="518" t="s">
        <v>677</v>
      </c>
      <c r="J7" s="518"/>
      <c r="K7" s="518"/>
    </row>
    <row r="8" spans="2:11" ht="35.15" customHeight="1" x14ac:dyDescent="0.35">
      <c r="B8" s="519"/>
      <c r="C8" s="144" t="s">
        <v>26</v>
      </c>
      <c r="D8" s="144" t="s">
        <v>28</v>
      </c>
      <c r="E8" s="145" t="s">
        <v>678</v>
      </c>
      <c r="F8" s="144" t="s">
        <v>26</v>
      </c>
      <c r="G8" s="144" t="s">
        <v>28</v>
      </c>
      <c r="H8" s="145" t="s">
        <v>678</v>
      </c>
      <c r="I8" s="144" t="s">
        <v>26</v>
      </c>
      <c r="J8" s="144" t="s">
        <v>28</v>
      </c>
      <c r="K8" s="146" t="s">
        <v>678</v>
      </c>
    </row>
    <row r="9" spans="2:11" ht="20.149999999999999" customHeight="1" x14ac:dyDescent="0.35">
      <c r="B9" s="250" t="s">
        <v>679</v>
      </c>
      <c r="C9" s="252">
        <f xml:space="preserve">
IFERROR(
INDEX(
$CL$267:$DL$279,
MATCH($B9,$CL$267:$CL$279,0),
MATCH(C$8,$CL$266:$DL$266,0)
), 0)</f>
        <v>3965054</v>
      </c>
      <c r="D9" s="254">
        <f xml:space="preserve">
IFERROR(
INDEX(
$CL$267:$DL$279,
MATCH($B9,$CL$267:$CL$279,0),
MATCH(D$8,$CL$266:$DL$266,0)
), 0)</f>
        <v>3667850</v>
      </c>
      <c r="E9" s="253">
        <f>IFERROR(((C9/D9)-1)*100,"")</f>
        <v>8.1029485938628909</v>
      </c>
      <c r="F9" s="254">
        <f xml:space="preserve">
IFERROR(
INDEX(
$CL$284:$DL$296,
MATCH($B9,$CL$284:$CL$296,0),
MATCH(F$8,$CL$283:$DL$283,0)
), 0)</f>
        <v>3756182</v>
      </c>
      <c r="G9" s="254">
        <f xml:space="preserve">
IFERROR(
INDEX(
$CL$284:$DL$296,
MATCH($B9,$CL$284:$CL$296,0),
MATCH(G$8,$CL$283:$DL$283,0)
), 0)</f>
        <v>3374148</v>
      </c>
      <c r="H9" s="253">
        <f>IFERROR(((F9/G9)-1)*100,"")</f>
        <v>11.322384198914804</v>
      </c>
      <c r="I9" s="255">
        <f>IFERROR(F9*1000/C9,0)</f>
        <v>947.32177670215845</v>
      </c>
      <c r="J9" s="255">
        <f>IFERROR(G9*1000/D9,0)</f>
        <v>919.92529683602106</v>
      </c>
      <c r="K9" s="253">
        <f>IFERROR(((I9/J9)-1)*100,"")</f>
        <v>2.978120066962453</v>
      </c>
    </row>
    <row r="10" spans="2:11" ht="20.149999999999999" customHeight="1" x14ac:dyDescent="0.35">
      <c r="B10" s="36" t="s">
        <v>680</v>
      </c>
      <c r="C10" s="256">
        <f t="shared" ref="C10:C21" si="0" xml:space="preserve">
IFERROR(
INDEX(
$CL$267:$DL$279,
MATCH($B10,$CL$267:$CL$279,0),
MATCH(C$8,$CL$266:$DL$266,0)
), 0)</f>
        <v>4521551</v>
      </c>
      <c r="D10" s="256">
        <f t="shared" ref="D10:D21" si="1" xml:space="preserve">
IFERROR(
INDEX(
$CL$267:$DL$279,
MATCH($B10,$CL$267:$CL$279,0),
MATCH(D$8,$CL$266:$DL$266,0)
), 0)</f>
        <v>4676668</v>
      </c>
      <c r="E10" s="257">
        <f t="shared" ref="E10:E21" si="2">IFERROR(((C10/D10)-1)*100,"")</f>
        <v>-3.316827279593082</v>
      </c>
      <c r="F10" s="258">
        <f t="shared" ref="F10:F21" si="3" xml:space="preserve">
IFERROR(
INDEX(
$CL$284:$DL$296,
MATCH($B10,$CL$284:$CL$296,0),
MATCH(F$8,$CL$283:$DL$283,0)
), 0)</f>
        <v>1219393</v>
      </c>
      <c r="G10" s="259">
        <f t="shared" ref="G10:G20" si="4" xml:space="preserve">
IFERROR(
INDEX(
$CL$284:$DL$296,
MATCH($B10,$CL$284:$CL$296,0),
MATCH(G$8,$CL$283:$DL$283,0)
), 0)</f>
        <v>1278269</v>
      </c>
      <c r="H10" s="257">
        <f t="shared" ref="H10:H21" si="5">IFERROR(((F10/G10)-1)*100,"")</f>
        <v>-4.6059162820971222</v>
      </c>
      <c r="I10" s="260">
        <f t="shared" ref="I10:I15" si="6">IFERROR(F10*1000/C10,0)</f>
        <v>269.68467236132028</v>
      </c>
      <c r="J10" s="260">
        <f t="shared" ref="J10:J14" si="7">IFERROR(G10*1000/D10,0)</f>
        <v>273.32900261468205</v>
      </c>
      <c r="K10" s="257">
        <f t="shared" ref="K10:K21" si="8">IFERROR(((I10/J10)-1)*100,"")</f>
        <v>-1.3333126812375862</v>
      </c>
    </row>
    <row r="11" spans="2:11" ht="20.149999999999999" customHeight="1" x14ac:dyDescent="0.35">
      <c r="B11" s="36" t="s">
        <v>681</v>
      </c>
      <c r="C11" s="256">
        <f xml:space="preserve">
IFERROR(
INDEX(
$CL$267:$DL$279,
MATCH($B11,$CL$267:$CL$279,0),
MATCH(C$8,$CL$266:$DL$266,0)
), 0)</f>
        <v>2941813</v>
      </c>
      <c r="D11" s="256">
        <f xml:space="preserve">
IFERROR(
INDEX(
$CL$267:$DL$279,
MATCH($B11,$CL$267:$CL$279,0),
MATCH(D$8,$CL$266:$DL$266,0)
), 0)</f>
        <v>3141492</v>
      </c>
      <c r="E11" s="257">
        <f t="shared" si="2"/>
        <v>-6.3561836223043011</v>
      </c>
      <c r="F11" s="258">
        <f t="shared" si="3"/>
        <v>1716905</v>
      </c>
      <c r="G11" s="259">
        <f t="shared" si="4"/>
        <v>1650182</v>
      </c>
      <c r="H11" s="257">
        <f t="shared" si="5"/>
        <v>4.0433721856134586</v>
      </c>
      <c r="I11" s="260">
        <f t="shared" si="6"/>
        <v>583.62139265820088</v>
      </c>
      <c r="J11" s="260">
        <f t="shared" si="7"/>
        <v>525.28607426025599</v>
      </c>
      <c r="K11" s="257">
        <f t="shared" si="8"/>
        <v>11.10543782834843</v>
      </c>
    </row>
    <row r="12" spans="2:11" ht="20.149999999999999" customHeight="1" x14ac:dyDescent="0.35">
      <c r="B12" s="36" t="s">
        <v>682</v>
      </c>
      <c r="C12" s="256">
        <f t="shared" si="0"/>
        <v>940057</v>
      </c>
      <c r="D12" s="256">
        <f t="shared" si="1"/>
        <v>984250</v>
      </c>
      <c r="E12" s="257">
        <f t="shared" si="2"/>
        <v>-4.4900177800355596</v>
      </c>
      <c r="F12" s="258">
        <f t="shared" si="3"/>
        <v>662337</v>
      </c>
      <c r="G12" s="259">
        <f t="shared" si="4"/>
        <v>643413</v>
      </c>
      <c r="H12" s="257">
        <f t="shared" si="5"/>
        <v>2.9411901842207211</v>
      </c>
      <c r="I12" s="260">
        <f t="shared" si="6"/>
        <v>704.57110579464859</v>
      </c>
      <c r="J12" s="260">
        <f t="shared" si="7"/>
        <v>653.70891541783078</v>
      </c>
      <c r="K12" s="257">
        <f t="shared" si="8"/>
        <v>7.7805563267112854</v>
      </c>
    </row>
    <row r="13" spans="2:11" ht="20.149999999999999" customHeight="1" x14ac:dyDescent="0.35">
      <c r="B13" s="36" t="s">
        <v>683</v>
      </c>
      <c r="C13" s="256">
        <f t="shared" si="0"/>
        <v>305650</v>
      </c>
      <c r="D13" s="256">
        <f t="shared" si="1"/>
        <v>384704</v>
      </c>
      <c r="E13" s="257">
        <f t="shared" si="2"/>
        <v>-20.549305440026622</v>
      </c>
      <c r="F13" s="258">
        <f t="shared" si="3"/>
        <v>254458</v>
      </c>
      <c r="G13" s="259">
        <f t="shared" si="4"/>
        <v>229246</v>
      </c>
      <c r="H13" s="257">
        <f t="shared" si="5"/>
        <v>10.997792764104929</v>
      </c>
      <c r="I13" s="260">
        <f t="shared" si="6"/>
        <v>832.51431375756579</v>
      </c>
      <c r="J13" s="260">
        <f t="shared" si="7"/>
        <v>595.9023041091333</v>
      </c>
      <c r="K13" s="257">
        <f t="shared" si="8"/>
        <v>39.706510281440274</v>
      </c>
    </row>
    <row r="14" spans="2:11" ht="20.149999999999999" customHeight="1" x14ac:dyDescent="0.35">
      <c r="B14" s="36" t="s">
        <v>684</v>
      </c>
      <c r="C14" s="256">
        <f t="shared" si="0"/>
        <v>235832</v>
      </c>
      <c r="D14" s="256">
        <f t="shared" si="1"/>
        <v>235650</v>
      </c>
      <c r="E14" s="257">
        <f t="shared" si="2"/>
        <v>7.7233184807967703E-2</v>
      </c>
      <c r="F14" s="258">
        <f t="shared" si="3"/>
        <v>151440</v>
      </c>
      <c r="G14" s="259">
        <f t="shared" si="4"/>
        <v>140046</v>
      </c>
      <c r="H14" s="257">
        <f t="shared" si="5"/>
        <v>8.1358982048755468</v>
      </c>
      <c r="I14" s="260">
        <f t="shared" si="6"/>
        <v>642.15204043556434</v>
      </c>
      <c r="J14" s="260">
        <f t="shared" si="7"/>
        <v>594.29662635264162</v>
      </c>
      <c r="K14" s="257">
        <f t="shared" si="8"/>
        <v>8.0524458596752169</v>
      </c>
    </row>
    <row r="15" spans="2:11" ht="20.149999999999999" customHeight="1" x14ac:dyDescent="0.35">
      <c r="B15" s="36" t="s">
        <v>685</v>
      </c>
      <c r="C15" s="256">
        <f t="shared" si="0"/>
        <v>278977</v>
      </c>
      <c r="D15" s="256">
        <f t="shared" si="1"/>
        <v>58262</v>
      </c>
      <c r="E15" s="257">
        <f t="shared" si="2"/>
        <v>378.83182863616076</v>
      </c>
      <c r="F15" s="258">
        <f t="shared" si="3"/>
        <v>111613</v>
      </c>
      <c r="G15" s="259">
        <f t="shared" si="4"/>
        <v>146260</v>
      </c>
      <c r="H15" s="257">
        <f t="shared" si="5"/>
        <v>-23.68863667441542</v>
      </c>
      <c r="I15" s="260">
        <f t="shared" si="6"/>
        <v>400.07957645253907</v>
      </c>
      <c r="J15" s="260">
        <f>IFERROR(G15*1000/D15,0)</f>
        <v>2510.3841268751503</v>
      </c>
      <c r="K15" s="257">
        <f t="shared" si="8"/>
        <v>-84.063013617340459</v>
      </c>
    </row>
    <row r="16" spans="2:11" ht="25" customHeight="1" x14ac:dyDescent="0.35">
      <c r="B16" s="4" t="s">
        <v>686</v>
      </c>
      <c r="C16" s="261">
        <f>SUM(C9:C15)</f>
        <v>13188934</v>
      </c>
      <c r="D16" s="261">
        <f>SUM(D9:D15)</f>
        <v>13148876</v>
      </c>
      <c r="E16" s="262">
        <f>IFERROR(((C16/D16)-1)*100,"")</f>
        <v>0.30464961415712644</v>
      </c>
      <c r="F16" s="263">
        <f>SUM(F9:F15)</f>
        <v>7872328</v>
      </c>
      <c r="G16" s="263">
        <f>SUM(G9:G15)</f>
        <v>7461564</v>
      </c>
      <c r="H16" s="262">
        <f>IFERROR(((F16/G16)-1)*100,"")</f>
        <v>5.5050656940019538</v>
      </c>
      <c r="I16" s="264">
        <f>IFERROR(F16*1000/C16,0)</f>
        <v>596.88887669011001</v>
      </c>
      <c r="J16" s="264">
        <f>IFERROR(G16*1000/D16,0)</f>
        <v>567.46782006309888</v>
      </c>
      <c r="K16" s="262">
        <f t="shared" si="8"/>
        <v>5.1846211515112373</v>
      </c>
    </row>
    <row r="17" spans="2:11" ht="20.149999999999999" customHeight="1" x14ac:dyDescent="0.35">
      <c r="B17" s="36" t="s">
        <v>687</v>
      </c>
      <c r="C17" s="256">
        <f t="shared" si="0"/>
        <v>7696</v>
      </c>
      <c r="D17" s="256">
        <f t="shared" si="1"/>
        <v>6992</v>
      </c>
      <c r="E17" s="257">
        <f t="shared" si="2"/>
        <v>10.068649885583515</v>
      </c>
      <c r="F17" s="258">
        <f t="shared" si="3"/>
        <v>0</v>
      </c>
      <c r="G17" s="259">
        <f t="shared" si="4"/>
        <v>0</v>
      </c>
      <c r="H17" s="259" t="str">
        <f t="shared" si="5"/>
        <v/>
      </c>
      <c r="I17" s="62">
        <v>0</v>
      </c>
      <c r="J17" s="62">
        <v>0</v>
      </c>
      <c r="K17" s="257">
        <v>0</v>
      </c>
    </row>
    <row r="18" spans="2:11" ht="20.149999999999999" customHeight="1" x14ac:dyDescent="0.35">
      <c r="B18" s="36" t="s">
        <v>688</v>
      </c>
      <c r="C18" s="256">
        <f t="shared" si="0"/>
        <v>0</v>
      </c>
      <c r="D18" s="256">
        <f t="shared" si="1"/>
        <v>0</v>
      </c>
      <c r="E18" s="257" t="str">
        <f t="shared" si="2"/>
        <v/>
      </c>
      <c r="F18" s="258">
        <f t="shared" si="3"/>
        <v>-104461</v>
      </c>
      <c r="G18" s="259">
        <f t="shared" si="4"/>
        <v>77702</v>
      </c>
      <c r="H18" s="257">
        <f t="shared" si="5"/>
        <v>-234.43798100434998</v>
      </c>
      <c r="I18" s="260">
        <f>IFERROR(F18*1000/C18,0)</f>
        <v>0</v>
      </c>
      <c r="J18" s="260">
        <f>IFERROR(G18*1000/D18,0)</f>
        <v>0</v>
      </c>
      <c r="K18" s="257">
        <v>0</v>
      </c>
    </row>
    <row r="19" spans="2:11" ht="25" customHeight="1" x14ac:dyDescent="0.35">
      <c r="B19" s="4" t="s">
        <v>686</v>
      </c>
      <c r="C19" s="261">
        <f>SUM(C16:C18)</f>
        <v>13196630</v>
      </c>
      <c r="D19" s="261">
        <f>SUM(D16:D18)</f>
        <v>13155868</v>
      </c>
      <c r="E19" s="262">
        <f t="shared" si="2"/>
        <v>0.3098389251093181</v>
      </c>
      <c r="F19" s="263">
        <f>SUM(F16:F18)</f>
        <v>7767867</v>
      </c>
      <c r="G19" s="263">
        <f>SUM(G16:G18)</f>
        <v>7539266</v>
      </c>
      <c r="H19" s="257">
        <f t="shared" si="5"/>
        <v>3.0321386723853427</v>
      </c>
      <c r="I19" s="265">
        <f>IFERROR(F19*1000/C19,0)</f>
        <v>588.62505048637422</v>
      </c>
      <c r="J19" s="265">
        <f>IFERROR(G19*1000/D19,0)</f>
        <v>573.07248750139479</v>
      </c>
      <c r="K19" s="262">
        <f>IFERROR(((I19/J19)-1)*100,"")</f>
        <v>2.7138910563982765</v>
      </c>
    </row>
    <row r="20" spans="2:11" ht="20.149999999999999" customHeight="1" x14ac:dyDescent="0.35">
      <c r="B20" s="36" t="s">
        <v>689</v>
      </c>
      <c r="C20" s="256">
        <f t="shared" si="0"/>
        <v>4817442</v>
      </c>
      <c r="D20" s="256">
        <f t="shared" si="1"/>
        <v>5042543</v>
      </c>
      <c r="E20" s="257">
        <f t="shared" si="2"/>
        <v>-4.4640372922947762</v>
      </c>
      <c r="F20" s="258">
        <f t="shared" si="3"/>
        <v>1262389</v>
      </c>
      <c r="G20" s="259">
        <f t="shared" si="4"/>
        <v>1162502</v>
      </c>
      <c r="H20" s="257">
        <f t="shared" si="5"/>
        <v>8.5924153248768675</v>
      </c>
      <c r="I20" s="62">
        <f t="shared" ref="I20:I21" si="9">IFERROR(F20*1000/C20,0)</f>
        <v>262.04550049590631</v>
      </c>
      <c r="J20" s="62">
        <f t="shared" ref="J20:J21" si="10">IFERROR(G20*1000/D20,0)</f>
        <v>230.53883724937992</v>
      </c>
      <c r="K20" s="257">
        <f t="shared" si="8"/>
        <v>13.666531688300655</v>
      </c>
    </row>
    <row r="21" spans="2:11" ht="20.149999999999999" customHeight="1" x14ac:dyDescent="0.35">
      <c r="B21" s="251" t="s">
        <v>690</v>
      </c>
      <c r="C21" s="256">
        <f t="shared" si="0"/>
        <v>0</v>
      </c>
      <c r="D21" s="256">
        <f t="shared" si="1"/>
        <v>0</v>
      </c>
      <c r="E21" s="266" t="str">
        <f t="shared" si="2"/>
        <v/>
      </c>
      <c r="F21" s="258">
        <f t="shared" si="3"/>
        <v>25655</v>
      </c>
      <c r="G21" s="259">
        <f xml:space="preserve">
IFERROR(
INDEX(
$CL$284:$DL$296,
MATCH($B21,$CL$284:$CL$296,0),
MATCH(G$8,$CL$283:$DL$283,0)
), 0)</f>
        <v>-15389</v>
      </c>
      <c r="H21" s="266">
        <f t="shared" si="5"/>
        <v>-266.70998765351874</v>
      </c>
      <c r="I21" s="267">
        <f t="shared" si="9"/>
        <v>0</v>
      </c>
      <c r="J21" s="267">
        <f t="shared" si="10"/>
        <v>0</v>
      </c>
      <c r="K21" s="266" t="str">
        <f t="shared" si="8"/>
        <v/>
      </c>
    </row>
    <row r="22" spans="2:11" ht="28" customHeight="1" x14ac:dyDescent="0.35">
      <c r="B22" s="39" t="s">
        <v>143</v>
      </c>
      <c r="C22" s="205">
        <f>SUM(C19:C21)</f>
        <v>18014072</v>
      </c>
      <c r="D22" s="205">
        <f>SUM(D19:D21)</f>
        <v>18198411</v>
      </c>
      <c r="E22" s="149">
        <f>IFERROR(((C22/D22)-1)*100,"")</f>
        <v>-1.0129400858129856</v>
      </c>
      <c r="F22" s="205">
        <f>SUM(F19:F21)</f>
        <v>9055911</v>
      </c>
      <c r="G22" s="205">
        <f>SUM(G19:G21)</f>
        <v>8686379</v>
      </c>
      <c r="H22" s="150">
        <f>IFERROR(((F22/G22)-1)*100,"")</f>
        <v>4.2541546943783981</v>
      </c>
      <c r="I22" s="147">
        <f>F22*1000/C22</f>
        <v>502.71315669216818</v>
      </c>
      <c r="J22" s="147">
        <f>G22*1000/D22</f>
        <v>477.31524472109129</v>
      </c>
      <c r="K22" s="148">
        <f>IFERROR(((I22/J22)-1)*100,"")</f>
        <v>5.3209932538227589</v>
      </c>
    </row>
    <row r="264" spans="90:140" ht="60" customHeight="1" x14ac:dyDescent="0.35">
      <c r="CL264" s="478" t="s">
        <v>691</v>
      </c>
      <c r="CM264" s="478"/>
      <c r="CN264" s="478"/>
      <c r="CO264" s="478"/>
      <c r="CP264" s="478"/>
      <c r="CQ264" s="478"/>
      <c r="CR264" s="478"/>
      <c r="CS264" s="478"/>
      <c r="CT264" s="478"/>
      <c r="CU264" s="478"/>
      <c r="CV264" s="478"/>
      <c r="CW264" s="478"/>
      <c r="CX264" s="478"/>
      <c r="CY264" s="478"/>
      <c r="CZ264" s="478"/>
      <c r="DA264" s="478"/>
      <c r="DB264" s="478"/>
      <c r="DC264" s="478"/>
      <c r="DD264" s="478"/>
      <c r="DE264" s="478"/>
      <c r="DF264" s="478"/>
      <c r="DG264" s="478"/>
      <c r="DH264" s="478"/>
      <c r="DI264" s="478"/>
      <c r="DJ264" s="478"/>
      <c r="DK264" s="478"/>
      <c r="DL264" s="478"/>
      <c r="DM264"/>
    </row>
    <row r="265" spans="90:140" x14ac:dyDescent="0.35">
      <c r="CO265" s="206"/>
      <c r="CP265" s="206"/>
      <c r="CQ265" s="206"/>
      <c r="CR265" s="206"/>
      <c r="CS265" s="206"/>
      <c r="CT265" s="206"/>
      <c r="CU265" s="206"/>
      <c r="CV265" s="206"/>
      <c r="CW265" s="206"/>
      <c r="CX265" s="206"/>
      <c r="CY265" s="206"/>
      <c r="CZ265" s="206"/>
      <c r="DA265" s="206"/>
      <c r="DB265" s="206"/>
      <c r="DC265" s="206"/>
      <c r="DD265" s="206"/>
      <c r="DE265" s="206"/>
      <c r="DF265" s="206"/>
      <c r="DG265" s="206"/>
      <c r="DH265" s="206"/>
      <c r="DI265" s="206"/>
      <c r="DJ265" s="206"/>
      <c r="DK265" s="206"/>
      <c r="DL265" s="206"/>
      <c r="DM265" s="521"/>
      <c r="DN265" s="521"/>
      <c r="DO265" s="521"/>
      <c r="DP265" s="521"/>
      <c r="DQ265" s="521"/>
      <c r="DR265" s="521"/>
      <c r="DS265" s="521"/>
      <c r="DT265" s="521"/>
      <c r="DU265" s="521"/>
      <c r="DV265" s="521"/>
      <c r="DW265" s="521"/>
      <c r="DX265" s="521"/>
      <c r="DY265" s="521"/>
      <c r="DZ265" s="521"/>
      <c r="EA265" s="521"/>
      <c r="EB265" s="521"/>
      <c r="EC265" s="521"/>
      <c r="ED265" s="521"/>
      <c r="EE265" s="521"/>
      <c r="EF265" s="521"/>
      <c r="EG265" s="521"/>
      <c r="EH265" s="521"/>
      <c r="EI265" s="521"/>
      <c r="EJ265" s="521"/>
    </row>
    <row r="266" spans="90:140" ht="60" customHeight="1" x14ac:dyDescent="0.35">
      <c r="CL266" s="200" t="s">
        <v>692</v>
      </c>
      <c r="CM266" s="167" t="s">
        <v>26</v>
      </c>
      <c r="CN266" s="167" t="s">
        <v>2</v>
      </c>
      <c r="CO266" s="167" t="s">
        <v>22</v>
      </c>
      <c r="CP266" s="167" t="s">
        <v>27</v>
      </c>
      <c r="CQ266" s="167" t="s">
        <v>28</v>
      </c>
      <c r="CR266" s="167" t="s">
        <v>29</v>
      </c>
      <c r="CS266" s="167" t="s">
        <v>30</v>
      </c>
      <c r="CT266" s="167" t="s">
        <v>31</v>
      </c>
      <c r="CU266" s="167" t="s">
        <v>32</v>
      </c>
      <c r="CV266" s="167" t="s">
        <v>33</v>
      </c>
      <c r="CW266" s="167" t="s">
        <v>34</v>
      </c>
      <c r="CX266" s="167" t="s">
        <v>35</v>
      </c>
      <c r="CY266" s="167" t="s">
        <v>36</v>
      </c>
      <c r="CZ266" s="167" t="s">
        <v>37</v>
      </c>
      <c r="DA266" s="167" t="s">
        <v>38</v>
      </c>
      <c r="DB266" s="167" t="s">
        <v>39</v>
      </c>
      <c r="DC266" s="167" t="s">
        <v>40</v>
      </c>
      <c r="DD266" s="167" t="s">
        <v>41</v>
      </c>
      <c r="DE266" s="167" t="s">
        <v>42</v>
      </c>
      <c r="DF266" s="167" t="s">
        <v>43</v>
      </c>
      <c r="DG266" s="167" t="s">
        <v>44</v>
      </c>
      <c r="DH266" s="167" t="s">
        <v>45</v>
      </c>
      <c r="DI266" s="167" t="s">
        <v>46</v>
      </c>
      <c r="DJ266" s="167" t="s">
        <v>47</v>
      </c>
      <c r="DK266" s="167" t="s">
        <v>48</v>
      </c>
      <c r="DL266" s="167" t="s">
        <v>49</v>
      </c>
      <c r="DM266" s="207"/>
      <c r="DN266" s="207"/>
      <c r="DO266" s="207"/>
      <c r="DP266" s="207"/>
      <c r="DQ266" s="207"/>
      <c r="DR266" s="207"/>
      <c r="DS266" s="207"/>
      <c r="DT266" s="207"/>
      <c r="DU266" s="207"/>
      <c r="DV266" s="207"/>
      <c r="DW266" s="207"/>
      <c r="DX266" s="207"/>
      <c r="DY266" s="207"/>
      <c r="DZ266" s="207"/>
      <c r="EA266" s="207"/>
      <c r="EB266" s="207"/>
      <c r="EC266" s="207"/>
      <c r="ED266" s="207"/>
      <c r="EE266" s="207"/>
      <c r="EF266" s="207"/>
      <c r="EG266" s="207"/>
      <c r="EH266" s="207"/>
      <c r="EI266" s="207"/>
      <c r="EJ266" s="207"/>
    </row>
    <row r="267" spans="90:140" ht="20.149999999999999" customHeight="1" x14ac:dyDescent="0.35">
      <c r="CL267" s="49" t="s">
        <v>679</v>
      </c>
      <c r="CM267" s="50">
        <v>3965054</v>
      </c>
      <c r="CN267" s="50">
        <v>4127482</v>
      </c>
      <c r="CO267" s="50">
        <v>3917894</v>
      </c>
      <c r="CP267" s="50">
        <v>3658287</v>
      </c>
      <c r="CQ267" s="50">
        <v>3667850</v>
      </c>
      <c r="CR267" s="50">
        <v>3837945</v>
      </c>
      <c r="CS267" s="50">
        <v>3759818</v>
      </c>
      <c r="CT267" s="50">
        <v>3449706</v>
      </c>
      <c r="CU267" s="50">
        <v>3552969</v>
      </c>
      <c r="CV267" s="50">
        <v>3667800</v>
      </c>
      <c r="CW267" s="50">
        <v>4218360</v>
      </c>
      <c r="CX267" s="50">
        <v>3163575</v>
      </c>
      <c r="CY267" s="50">
        <v>2944206</v>
      </c>
      <c r="CZ267" s="50">
        <v>2984825</v>
      </c>
      <c r="DA267" s="50">
        <v>2900688</v>
      </c>
      <c r="DB267" s="50">
        <v>2706219</v>
      </c>
      <c r="DC267" s="50">
        <v>2768128</v>
      </c>
      <c r="DD267" s="50">
        <v>2841768</v>
      </c>
      <c r="DE267" s="50">
        <v>2786752</v>
      </c>
      <c r="DF267" s="50">
        <v>2757428</v>
      </c>
      <c r="DG267" s="50">
        <v>2766585</v>
      </c>
      <c r="DH267" s="50">
        <v>2875007</v>
      </c>
      <c r="DI267" s="50">
        <v>2885595</v>
      </c>
      <c r="DJ267" s="50">
        <v>2652121</v>
      </c>
      <c r="DK267" s="50">
        <v>2657910</v>
      </c>
      <c r="DL267" s="50">
        <v>2785000</v>
      </c>
      <c r="DM267" s="67"/>
      <c r="DN267" s="67"/>
      <c r="DO267" s="67"/>
      <c r="DP267" s="67"/>
      <c r="DQ267" s="67"/>
      <c r="DR267" s="67"/>
      <c r="DS267" s="67"/>
      <c r="DT267" s="67"/>
      <c r="DU267" s="67"/>
      <c r="DV267" s="67"/>
      <c r="DW267" s="67"/>
      <c r="DX267" s="67"/>
      <c r="DY267" s="67"/>
      <c r="DZ267" s="67"/>
      <c r="EA267" s="67"/>
      <c r="EB267" s="67"/>
      <c r="EC267" s="67"/>
      <c r="ED267" s="67"/>
      <c r="EE267" s="67"/>
      <c r="EF267" s="67"/>
      <c r="EG267" s="67"/>
      <c r="EH267" s="67"/>
      <c r="EI267" s="67"/>
      <c r="EJ267" s="67"/>
    </row>
    <row r="268" spans="90:140" ht="20.149999999999999" customHeight="1" x14ac:dyDescent="0.35">
      <c r="CL268" s="36" t="s">
        <v>680</v>
      </c>
      <c r="CM268" s="202">
        <v>4521551</v>
      </c>
      <c r="CN268" s="202">
        <v>4129740</v>
      </c>
      <c r="CO268" s="202">
        <v>4743870</v>
      </c>
      <c r="CP268" s="202">
        <v>4857881</v>
      </c>
      <c r="CQ268" s="202">
        <v>4676668</v>
      </c>
      <c r="CR268" s="202">
        <v>4311273</v>
      </c>
      <c r="CS268" s="202">
        <v>4596957</v>
      </c>
      <c r="CT268" s="202">
        <v>4581105</v>
      </c>
      <c r="CU268" s="202">
        <v>4440313</v>
      </c>
      <c r="CV268" s="202">
        <v>4201687</v>
      </c>
      <c r="CW268" s="202">
        <v>4759315</v>
      </c>
      <c r="CX268" s="202">
        <v>4680243</v>
      </c>
      <c r="CY268" s="202">
        <v>4595472</v>
      </c>
      <c r="CZ268" s="202">
        <v>4307674</v>
      </c>
      <c r="DA268" s="202">
        <v>4713814</v>
      </c>
      <c r="DB268" s="202">
        <v>4733637</v>
      </c>
      <c r="DC268" s="202">
        <v>4597875</v>
      </c>
      <c r="DD268" s="202">
        <v>4158420</v>
      </c>
      <c r="DE268" s="202">
        <v>4237910</v>
      </c>
      <c r="DF268" s="202">
        <v>4263189</v>
      </c>
      <c r="DG268" s="202">
        <v>4058047</v>
      </c>
      <c r="DH268" s="202">
        <v>3801715</v>
      </c>
      <c r="DI268" s="202">
        <v>3121508</v>
      </c>
      <c r="DJ268" s="202">
        <v>3282736</v>
      </c>
      <c r="DK268" s="202">
        <v>2982979</v>
      </c>
      <c r="DL268" s="202">
        <v>3343944</v>
      </c>
      <c r="DM268" s="67"/>
      <c r="DN268" s="67"/>
      <c r="DO268" s="67"/>
      <c r="DP268" s="67"/>
      <c r="DQ268" s="67"/>
      <c r="DR268" s="67"/>
      <c r="DS268" s="67"/>
      <c r="DT268" s="67"/>
      <c r="DU268" s="67"/>
      <c r="DV268" s="67"/>
      <c r="DW268" s="67"/>
      <c r="DX268" s="67"/>
      <c r="DY268" s="67"/>
      <c r="DZ268" s="67"/>
      <c r="EA268" s="67"/>
      <c r="EB268" s="67"/>
      <c r="EC268" s="67"/>
      <c r="ED268" s="67"/>
      <c r="EE268" s="67"/>
      <c r="EF268" s="67"/>
      <c r="EG268" s="67"/>
      <c r="EH268" s="67"/>
      <c r="EI268" s="67"/>
      <c r="EJ268" s="67"/>
    </row>
    <row r="269" spans="90:140" ht="20.149999999999999" customHeight="1" x14ac:dyDescent="0.35">
      <c r="CL269" s="36" t="s">
        <v>681</v>
      </c>
      <c r="CM269" s="202">
        <v>2941813</v>
      </c>
      <c r="CN269" s="202">
        <v>3026994</v>
      </c>
      <c r="CO269" s="202">
        <v>3093052</v>
      </c>
      <c r="CP269" s="202">
        <v>2950918</v>
      </c>
      <c r="CQ269" s="202">
        <v>3141492</v>
      </c>
      <c r="CR269" s="202">
        <v>3038828</v>
      </c>
      <c r="CS269" s="202">
        <v>2808877</v>
      </c>
      <c r="CT269" s="202">
        <v>2847706</v>
      </c>
      <c r="CU269" s="202">
        <v>3009442</v>
      </c>
      <c r="CV269" s="202">
        <v>3135922</v>
      </c>
      <c r="CW269" s="202">
        <v>3940085</v>
      </c>
      <c r="CX269" s="202">
        <v>2735654</v>
      </c>
      <c r="CY269" s="202">
        <v>2424104</v>
      </c>
      <c r="CZ269" s="202">
        <v>2343460</v>
      </c>
      <c r="DA269" s="202">
        <v>2248392</v>
      </c>
      <c r="DB269" s="202">
        <v>2124316</v>
      </c>
      <c r="DC269" s="202">
        <v>2307390</v>
      </c>
      <c r="DD269" s="202">
        <v>2276420</v>
      </c>
      <c r="DE269" s="202">
        <v>2217660</v>
      </c>
      <c r="DF269" s="202">
        <v>2017714</v>
      </c>
      <c r="DG269" s="202">
        <v>1992781</v>
      </c>
      <c r="DH269" s="202">
        <v>2105940</v>
      </c>
      <c r="DI269" s="202">
        <v>2160476</v>
      </c>
      <c r="DJ269" s="202">
        <v>1938028</v>
      </c>
      <c r="DK269" s="202">
        <v>2028857</v>
      </c>
      <c r="DL269" s="202">
        <v>2443717</v>
      </c>
      <c r="DM269" s="67"/>
      <c r="DN269" s="67"/>
      <c r="DO269" s="67"/>
      <c r="DP269" s="67"/>
      <c r="DQ269" s="67"/>
      <c r="DR269" s="67"/>
      <c r="DS269" s="67"/>
      <c r="DT269" s="67"/>
      <c r="DU269" s="67"/>
      <c r="DV269" s="67"/>
      <c r="DW269" s="67"/>
      <c r="DX269" s="67"/>
      <c r="DY269" s="67"/>
      <c r="DZ269" s="67"/>
      <c r="EA269" s="67"/>
      <c r="EB269" s="67"/>
      <c r="EC269" s="67"/>
      <c r="ED269" s="67"/>
      <c r="EE269" s="67"/>
      <c r="EF269" s="67"/>
      <c r="EG269" s="67"/>
      <c r="EH269" s="67"/>
      <c r="EI269" s="67"/>
      <c r="EJ269" s="67"/>
    </row>
    <row r="270" spans="90:140" ht="20.149999999999999" customHeight="1" x14ac:dyDescent="0.35">
      <c r="CL270" s="36" t="s">
        <v>682</v>
      </c>
      <c r="CM270" s="202">
        <v>940057</v>
      </c>
      <c r="CN270" s="202">
        <v>706355</v>
      </c>
      <c r="CO270" s="202">
        <v>941584</v>
      </c>
      <c r="CP270" s="202">
        <v>1084942</v>
      </c>
      <c r="CQ270" s="202">
        <v>984250</v>
      </c>
      <c r="CR270" s="202">
        <v>738830</v>
      </c>
      <c r="CS270" s="202">
        <v>783160</v>
      </c>
      <c r="CT270" s="202">
        <v>1116724</v>
      </c>
      <c r="CU270" s="202">
        <v>927534</v>
      </c>
      <c r="CV270" s="202">
        <v>750135</v>
      </c>
      <c r="CW270" s="202">
        <v>1165075</v>
      </c>
      <c r="CX270" s="202">
        <v>1009847</v>
      </c>
      <c r="CY270" s="202">
        <v>805325</v>
      </c>
      <c r="CZ270" s="202">
        <v>526308</v>
      </c>
      <c r="DA270" s="202">
        <v>774041</v>
      </c>
      <c r="DB270" s="202">
        <v>928222</v>
      </c>
      <c r="DC270" s="202">
        <v>844733</v>
      </c>
      <c r="DD270" s="202">
        <v>545936</v>
      </c>
      <c r="DE270" s="202">
        <v>886318</v>
      </c>
      <c r="DF270" s="202">
        <v>1169780</v>
      </c>
      <c r="DG270" s="202">
        <v>1074926</v>
      </c>
      <c r="DH270" s="202">
        <v>844374</v>
      </c>
      <c r="DI270" s="202">
        <v>955255</v>
      </c>
      <c r="DJ270" s="202">
        <v>1139551</v>
      </c>
      <c r="DK270" s="202">
        <v>896375</v>
      </c>
      <c r="DL270" s="202">
        <v>775005</v>
      </c>
      <c r="DM270" s="67"/>
      <c r="DN270" s="67"/>
      <c r="DO270" s="67"/>
      <c r="DP270" s="67"/>
      <c r="DQ270" s="67"/>
      <c r="DR270" s="67"/>
      <c r="DS270" s="67"/>
      <c r="DT270" s="67"/>
      <c r="DU270" s="67"/>
      <c r="DV270" s="67"/>
      <c r="DW270" s="67"/>
      <c r="DX270" s="67"/>
      <c r="DY270" s="67"/>
      <c r="DZ270" s="67"/>
      <c r="EA270" s="67"/>
      <c r="EB270" s="67"/>
      <c r="EC270" s="67"/>
      <c r="ED270" s="67"/>
      <c r="EE270" s="67"/>
      <c r="EF270" s="67"/>
      <c r="EG270" s="67"/>
      <c r="EH270" s="67"/>
      <c r="EI270" s="67"/>
      <c r="EJ270" s="67"/>
    </row>
    <row r="271" spans="90:140" ht="20.149999999999999" customHeight="1" x14ac:dyDescent="0.35">
      <c r="CL271" s="36" t="s">
        <v>683</v>
      </c>
      <c r="CM271" s="202">
        <v>305650</v>
      </c>
      <c r="CN271" s="202">
        <v>286640</v>
      </c>
      <c r="CO271" s="202">
        <v>268623</v>
      </c>
      <c r="CP271" s="202">
        <v>240475</v>
      </c>
      <c r="CQ271" s="202">
        <v>384704</v>
      </c>
      <c r="CR271" s="202">
        <v>262961</v>
      </c>
      <c r="CS271" s="202">
        <v>263884</v>
      </c>
      <c r="CT271" s="202">
        <v>236491</v>
      </c>
      <c r="CU271" s="202">
        <v>270497</v>
      </c>
      <c r="CV271" s="202">
        <v>260608</v>
      </c>
      <c r="CW271" s="202">
        <v>290977</v>
      </c>
      <c r="CX271" s="202">
        <v>218980</v>
      </c>
      <c r="CY271" s="202">
        <v>239549</v>
      </c>
      <c r="CZ271" s="202">
        <v>223654</v>
      </c>
      <c r="DA271" s="202">
        <v>226419</v>
      </c>
      <c r="DB271" s="202">
        <v>201625</v>
      </c>
      <c r="DC271" s="202">
        <v>223437</v>
      </c>
      <c r="DD271" s="202">
        <v>204191</v>
      </c>
      <c r="DE271" s="202">
        <v>203075</v>
      </c>
      <c r="DF271" s="202">
        <v>167875</v>
      </c>
      <c r="DG271" s="202">
        <v>171645</v>
      </c>
      <c r="DH271" s="202">
        <v>186717</v>
      </c>
      <c r="DI271" s="202">
        <v>178815</v>
      </c>
      <c r="DJ271" s="202">
        <v>149154</v>
      </c>
      <c r="DK271" s="202">
        <v>169009</v>
      </c>
      <c r="DL271" s="202">
        <v>217006</v>
      </c>
      <c r="DM271" s="67"/>
      <c r="DN271" s="67"/>
      <c r="DO271" s="67"/>
      <c r="DP271" s="67"/>
      <c r="DQ271" s="67"/>
      <c r="DR271" s="67"/>
      <c r="DS271" s="67"/>
      <c r="DT271" s="67"/>
      <c r="DU271" s="67"/>
      <c r="DV271" s="67"/>
      <c r="DW271" s="67"/>
      <c r="DX271" s="67"/>
      <c r="DY271" s="67"/>
      <c r="DZ271" s="67"/>
      <c r="EA271" s="67"/>
      <c r="EB271" s="67"/>
      <c r="EC271" s="67"/>
      <c r="ED271" s="67"/>
      <c r="EE271" s="67"/>
      <c r="EF271" s="67"/>
      <c r="EG271" s="67"/>
      <c r="EH271" s="67"/>
      <c r="EI271" s="67"/>
      <c r="EJ271" s="67"/>
    </row>
    <row r="272" spans="90:140" ht="20.149999999999999" customHeight="1" x14ac:dyDescent="0.35">
      <c r="CL272" s="36" t="s">
        <v>684</v>
      </c>
      <c r="CM272" s="202">
        <v>235832</v>
      </c>
      <c r="CN272" s="202">
        <v>233039</v>
      </c>
      <c r="CO272" s="202">
        <v>237614</v>
      </c>
      <c r="CP272" s="202">
        <v>238830</v>
      </c>
      <c r="CQ272" s="202">
        <v>235650</v>
      </c>
      <c r="CR272" s="202">
        <v>233904</v>
      </c>
      <c r="CS272" s="202">
        <v>237575</v>
      </c>
      <c r="CT272" s="202">
        <v>242328</v>
      </c>
      <c r="CU272" s="202">
        <v>244326</v>
      </c>
      <c r="CV272" s="202">
        <v>248370</v>
      </c>
      <c r="CW272" s="202">
        <v>255272</v>
      </c>
      <c r="CX272" s="202">
        <v>263650</v>
      </c>
      <c r="CY272" s="202">
        <v>267837</v>
      </c>
      <c r="CZ272" s="202">
        <v>269516</v>
      </c>
      <c r="DA272" s="202">
        <v>280317</v>
      </c>
      <c r="DB272" s="202">
        <v>287126</v>
      </c>
      <c r="DC272" s="202">
        <v>285585</v>
      </c>
      <c r="DD272" s="202">
        <v>285011</v>
      </c>
      <c r="DE272" s="202">
        <v>297699</v>
      </c>
      <c r="DF272" s="202">
        <v>257999</v>
      </c>
      <c r="DG272" s="202">
        <v>314679</v>
      </c>
      <c r="DH272" s="202">
        <v>355356</v>
      </c>
      <c r="DI272" s="202">
        <v>251065</v>
      </c>
      <c r="DJ272" s="202">
        <v>327039</v>
      </c>
      <c r="DK272" s="202">
        <v>325162</v>
      </c>
      <c r="DL272" s="202">
        <v>339494</v>
      </c>
      <c r="DM272" s="67"/>
      <c r="DN272" s="67"/>
      <c r="DO272" s="67"/>
      <c r="DP272" s="67"/>
      <c r="DQ272" s="67"/>
      <c r="DR272" s="67"/>
      <c r="DS272" s="67"/>
      <c r="DT272" s="67"/>
      <c r="DU272" s="67"/>
      <c r="DV272" s="67"/>
      <c r="DW272" s="67"/>
      <c r="DX272" s="67"/>
      <c r="DY272" s="67"/>
      <c r="DZ272" s="67"/>
      <c r="EA272" s="67"/>
      <c r="EB272" s="67"/>
      <c r="EC272" s="67"/>
      <c r="ED272" s="67"/>
      <c r="EE272" s="67"/>
      <c r="EF272" s="67"/>
      <c r="EG272" s="67"/>
      <c r="EH272" s="67"/>
      <c r="EI272" s="67"/>
      <c r="EJ272" s="67"/>
    </row>
    <row r="273" spans="90:116" ht="20.149999999999999" customHeight="1" x14ac:dyDescent="0.35">
      <c r="CL273" s="36" t="s">
        <v>685</v>
      </c>
      <c r="CM273" s="202">
        <v>278977</v>
      </c>
      <c r="CN273" s="202">
        <v>266561</v>
      </c>
      <c r="CO273" s="202">
        <v>273212</v>
      </c>
      <c r="CP273" s="202">
        <v>201442</v>
      </c>
      <c r="CQ273" s="202">
        <v>58262</v>
      </c>
      <c r="CR273" s="202">
        <v>321763</v>
      </c>
      <c r="CS273" s="202">
        <v>203044</v>
      </c>
      <c r="CT273" s="202">
        <v>230998</v>
      </c>
      <c r="CU273" s="202">
        <v>235023</v>
      </c>
      <c r="CV273" s="202">
        <v>250784</v>
      </c>
      <c r="CW273" s="202">
        <v>272939</v>
      </c>
      <c r="CX273" s="202">
        <v>257850</v>
      </c>
      <c r="CY273" s="202">
        <v>252158</v>
      </c>
      <c r="CZ273" s="202">
        <v>272353</v>
      </c>
      <c r="DA273" s="202">
        <v>348902</v>
      </c>
      <c r="DB273" s="202">
        <v>359448</v>
      </c>
      <c r="DC273" s="202">
        <v>351948</v>
      </c>
      <c r="DD273" s="202">
        <v>339958</v>
      </c>
      <c r="DE273" s="202">
        <v>356381</v>
      </c>
      <c r="DF273" s="202">
        <v>362058</v>
      </c>
      <c r="DG273" s="202">
        <v>352752</v>
      </c>
      <c r="DH273" s="202">
        <v>347115</v>
      </c>
      <c r="DI273" s="202">
        <v>339809</v>
      </c>
      <c r="DJ273" s="202">
        <v>347469</v>
      </c>
      <c r="DK273" s="202">
        <v>339650</v>
      </c>
      <c r="DL273" s="202">
        <v>335474</v>
      </c>
    </row>
    <row r="274" spans="90:116" ht="25" customHeight="1" x14ac:dyDescent="0.35">
      <c r="CL274" s="4" t="s">
        <v>686</v>
      </c>
      <c r="CM274" s="209">
        <f>IFERROR(SUM(CM267:CM273),0)</f>
        <v>13188934</v>
      </c>
      <c r="CN274" s="209">
        <f>IFERROR(SUM(CN267:CN273),0)</f>
        <v>12776811</v>
      </c>
      <c r="CO274" s="209">
        <f>IFERROR(SUM(CO267:CO273),0)</f>
        <v>13475849</v>
      </c>
      <c r="CP274" s="209">
        <f t="shared" ref="CP274:DL274" si="11">IFERROR(SUM(CP267:CP273),0)</f>
        <v>13232775</v>
      </c>
      <c r="CQ274" s="209">
        <f t="shared" si="11"/>
        <v>13148876</v>
      </c>
      <c r="CR274" s="209">
        <f t="shared" si="11"/>
        <v>12745504</v>
      </c>
      <c r="CS274" s="209">
        <f t="shared" si="11"/>
        <v>12653315</v>
      </c>
      <c r="CT274" s="209">
        <f t="shared" si="11"/>
        <v>12705058</v>
      </c>
      <c r="CU274" s="209">
        <f t="shared" si="11"/>
        <v>12680104</v>
      </c>
      <c r="CV274" s="209">
        <f t="shared" si="11"/>
        <v>12515306</v>
      </c>
      <c r="CW274" s="209">
        <f t="shared" si="11"/>
        <v>14902023</v>
      </c>
      <c r="CX274" s="209">
        <f t="shared" si="11"/>
        <v>12329799</v>
      </c>
      <c r="CY274" s="209">
        <f t="shared" si="11"/>
        <v>11528651</v>
      </c>
      <c r="CZ274" s="209">
        <f t="shared" si="11"/>
        <v>10927790</v>
      </c>
      <c r="DA274" s="209">
        <f t="shared" si="11"/>
        <v>11492573</v>
      </c>
      <c r="DB274" s="209">
        <f t="shared" si="11"/>
        <v>11340593</v>
      </c>
      <c r="DC274" s="209">
        <f t="shared" si="11"/>
        <v>11379096</v>
      </c>
      <c r="DD274" s="209">
        <f t="shared" si="11"/>
        <v>10651704</v>
      </c>
      <c r="DE274" s="209">
        <f t="shared" si="11"/>
        <v>10985795</v>
      </c>
      <c r="DF274" s="209">
        <f t="shared" si="11"/>
        <v>10996043</v>
      </c>
      <c r="DG274" s="209">
        <f t="shared" si="11"/>
        <v>10731415</v>
      </c>
      <c r="DH274" s="209">
        <f t="shared" si="11"/>
        <v>10516224</v>
      </c>
      <c r="DI274" s="209">
        <f t="shared" si="11"/>
        <v>9892523</v>
      </c>
      <c r="DJ274" s="209">
        <f t="shared" si="11"/>
        <v>9836098</v>
      </c>
      <c r="DK274" s="209">
        <f t="shared" si="11"/>
        <v>9399942</v>
      </c>
      <c r="DL274" s="209">
        <f t="shared" si="11"/>
        <v>10239640</v>
      </c>
    </row>
    <row r="275" spans="90:116" ht="20.149999999999999" customHeight="1" x14ac:dyDescent="0.35">
      <c r="CL275" s="36" t="s">
        <v>687</v>
      </c>
      <c r="CM275" s="208">
        <v>7696</v>
      </c>
      <c r="CN275" s="208">
        <v>7862</v>
      </c>
      <c r="CO275" s="208">
        <v>7396</v>
      </c>
      <c r="CP275" s="208">
        <v>6437</v>
      </c>
      <c r="CQ275" s="208">
        <v>6992</v>
      </c>
      <c r="CR275" s="208">
        <v>7925</v>
      </c>
      <c r="CS275" s="208">
        <v>7678</v>
      </c>
      <c r="CT275" s="208">
        <v>6763</v>
      </c>
      <c r="CU275" s="208">
        <v>7710</v>
      </c>
      <c r="CV275" s="208">
        <v>8188</v>
      </c>
      <c r="CW275" s="208">
        <v>8005</v>
      </c>
      <c r="CX275" s="208">
        <v>6783</v>
      </c>
      <c r="CY275" s="208">
        <v>7370</v>
      </c>
      <c r="CZ275" s="208">
        <v>7545</v>
      </c>
      <c r="DA275" s="208">
        <v>7470</v>
      </c>
      <c r="DB275" s="208">
        <v>6761</v>
      </c>
      <c r="DC275" s="208">
        <v>6857</v>
      </c>
      <c r="DD275" s="208">
        <v>9854</v>
      </c>
      <c r="DE275" s="208">
        <v>8407</v>
      </c>
      <c r="DF275" s="208">
        <v>7835</v>
      </c>
      <c r="DG275" s="208">
        <v>8272</v>
      </c>
      <c r="DH275" s="208">
        <v>8560</v>
      </c>
      <c r="DI275" s="208">
        <v>9154</v>
      </c>
      <c r="DJ275" s="208">
        <v>7559</v>
      </c>
      <c r="DK275" s="208">
        <v>7970</v>
      </c>
      <c r="DL275" s="208">
        <v>9406</v>
      </c>
    </row>
    <row r="276" spans="90:116" ht="20.149999999999999" customHeight="1" x14ac:dyDescent="0.35">
      <c r="CL276" s="36" t="s">
        <v>688</v>
      </c>
      <c r="CM276" s="202">
        <v>0</v>
      </c>
      <c r="CN276" s="202">
        <v>0</v>
      </c>
      <c r="CO276" s="202">
        <v>0</v>
      </c>
      <c r="CP276" s="202">
        <v>0</v>
      </c>
      <c r="CQ276" s="202">
        <v>0</v>
      </c>
      <c r="CR276" s="202">
        <v>0</v>
      </c>
      <c r="CS276" s="202">
        <v>0</v>
      </c>
      <c r="CT276" s="202">
        <v>0</v>
      </c>
      <c r="CU276" s="202">
        <v>0</v>
      </c>
      <c r="CV276" s="202">
        <v>0</v>
      </c>
      <c r="CW276" s="202">
        <v>0</v>
      </c>
      <c r="CX276" s="202">
        <v>0</v>
      </c>
      <c r="CY276" s="202">
        <v>0</v>
      </c>
      <c r="CZ276" s="202">
        <v>0</v>
      </c>
      <c r="DA276" s="202">
        <v>0</v>
      </c>
      <c r="DB276" s="202">
        <v>0</v>
      </c>
      <c r="DC276" s="202">
        <v>0</v>
      </c>
      <c r="DD276" s="202">
        <v>0</v>
      </c>
      <c r="DE276" s="202">
        <v>0</v>
      </c>
      <c r="DF276" s="202">
        <v>0</v>
      </c>
      <c r="DG276" s="202">
        <v>0</v>
      </c>
      <c r="DH276" s="202">
        <v>0</v>
      </c>
      <c r="DI276" s="202">
        <v>0</v>
      </c>
      <c r="DJ276" s="202">
        <v>0</v>
      </c>
      <c r="DK276" s="202">
        <v>0</v>
      </c>
      <c r="DL276" s="202">
        <v>0</v>
      </c>
    </row>
    <row r="277" spans="90:116" ht="25" customHeight="1" x14ac:dyDescent="0.35">
      <c r="CL277" s="4" t="s">
        <v>686</v>
      </c>
      <c r="CM277" s="209">
        <f>IFERROR(SUM(CM274:CM276),0)</f>
        <v>13196630</v>
      </c>
      <c r="CN277" s="209">
        <f>IFERROR(SUM(CN274:CN276),0)</f>
        <v>12784673</v>
      </c>
      <c r="CO277" s="209">
        <f t="shared" ref="CO277:DL277" si="12">IFERROR(SUM(CO274:CO276),0)</f>
        <v>13483245</v>
      </c>
      <c r="CP277" s="209">
        <f t="shared" si="12"/>
        <v>13239212</v>
      </c>
      <c r="CQ277" s="209">
        <f t="shared" si="12"/>
        <v>13155868</v>
      </c>
      <c r="CR277" s="209">
        <f t="shared" si="12"/>
        <v>12753429</v>
      </c>
      <c r="CS277" s="209">
        <f t="shared" si="12"/>
        <v>12660993</v>
      </c>
      <c r="CT277" s="209">
        <f t="shared" si="12"/>
        <v>12711821</v>
      </c>
      <c r="CU277" s="209">
        <f t="shared" si="12"/>
        <v>12687814</v>
      </c>
      <c r="CV277" s="209">
        <f t="shared" si="12"/>
        <v>12523494</v>
      </c>
      <c r="CW277" s="209">
        <f t="shared" si="12"/>
        <v>14910028</v>
      </c>
      <c r="CX277" s="209">
        <f t="shared" si="12"/>
        <v>12336582</v>
      </c>
      <c r="CY277" s="209">
        <f t="shared" si="12"/>
        <v>11536021</v>
      </c>
      <c r="CZ277" s="209">
        <f t="shared" si="12"/>
        <v>10935335</v>
      </c>
      <c r="DA277" s="209">
        <f t="shared" si="12"/>
        <v>11500043</v>
      </c>
      <c r="DB277" s="209">
        <f t="shared" si="12"/>
        <v>11347354</v>
      </c>
      <c r="DC277" s="209">
        <f t="shared" si="12"/>
        <v>11385953</v>
      </c>
      <c r="DD277" s="209">
        <f t="shared" si="12"/>
        <v>10661558</v>
      </c>
      <c r="DE277" s="209">
        <f t="shared" si="12"/>
        <v>10994202</v>
      </c>
      <c r="DF277" s="209">
        <f t="shared" si="12"/>
        <v>11003878</v>
      </c>
      <c r="DG277" s="209">
        <f t="shared" si="12"/>
        <v>10739687</v>
      </c>
      <c r="DH277" s="209">
        <f t="shared" si="12"/>
        <v>10524784</v>
      </c>
      <c r="DI277" s="209">
        <f t="shared" si="12"/>
        <v>9901677</v>
      </c>
      <c r="DJ277" s="209">
        <f t="shared" si="12"/>
        <v>9843657</v>
      </c>
      <c r="DK277" s="209">
        <f t="shared" si="12"/>
        <v>9407912</v>
      </c>
      <c r="DL277" s="209">
        <f t="shared" si="12"/>
        <v>10249046</v>
      </c>
    </row>
    <row r="278" spans="90:116" ht="20.149999999999999" customHeight="1" x14ac:dyDescent="0.35">
      <c r="CL278" s="36" t="s">
        <v>689</v>
      </c>
      <c r="CM278" s="256">
        <v>4817442</v>
      </c>
      <c r="CN278" s="208">
        <v>4894581</v>
      </c>
      <c r="CO278" s="208">
        <v>5605547</v>
      </c>
      <c r="CP278" s="208">
        <v>5235258</v>
      </c>
      <c r="CQ278" s="208">
        <v>5042543</v>
      </c>
      <c r="CR278" s="208">
        <v>4825648</v>
      </c>
      <c r="CS278" s="208">
        <v>4762961</v>
      </c>
      <c r="CT278" s="208">
        <v>4200330</v>
      </c>
      <c r="CU278" s="208">
        <v>3952637</v>
      </c>
      <c r="CV278" s="208">
        <v>4275663</v>
      </c>
      <c r="CW278" s="208">
        <v>4742073</v>
      </c>
      <c r="CX278" s="208">
        <v>4410689</v>
      </c>
      <c r="CY278" s="208">
        <v>4136944</v>
      </c>
      <c r="CZ278" s="208">
        <v>4038776</v>
      </c>
      <c r="DA278" s="208">
        <v>4630846</v>
      </c>
      <c r="DB278" s="208">
        <v>4597695</v>
      </c>
      <c r="DC278" s="208">
        <v>3847121</v>
      </c>
      <c r="DD278" s="208">
        <v>3700905</v>
      </c>
      <c r="DE278" s="208">
        <v>4597557</v>
      </c>
      <c r="DF278" s="208">
        <v>3026922</v>
      </c>
      <c r="DG278" s="208">
        <v>2612137</v>
      </c>
      <c r="DH278" s="208">
        <v>2716110</v>
      </c>
      <c r="DI278" s="208">
        <v>4130003</v>
      </c>
      <c r="DJ278" s="208">
        <v>3150749</v>
      </c>
      <c r="DK278" s="208">
        <v>3401541</v>
      </c>
      <c r="DL278" s="208">
        <v>3224555</v>
      </c>
    </row>
    <row r="279" spans="90:116" ht="20.149999999999999" customHeight="1" x14ac:dyDescent="0.35">
      <c r="CL279" s="251" t="s">
        <v>690</v>
      </c>
      <c r="CM279" s="268">
        <v>0</v>
      </c>
      <c r="CN279" s="268">
        <v>0</v>
      </c>
      <c r="CO279" s="268">
        <v>0</v>
      </c>
      <c r="CP279" s="268">
        <v>0</v>
      </c>
      <c r="CQ279" s="268">
        <v>0</v>
      </c>
      <c r="CR279" s="268">
        <v>0</v>
      </c>
      <c r="CS279" s="268">
        <v>0</v>
      </c>
      <c r="CT279" s="268">
        <v>0</v>
      </c>
      <c r="CU279" s="268">
        <v>0</v>
      </c>
      <c r="CV279" s="268">
        <v>0</v>
      </c>
      <c r="CW279" s="268">
        <v>0</v>
      </c>
      <c r="CX279" s="268">
        <v>0</v>
      </c>
      <c r="CY279" s="268">
        <v>0</v>
      </c>
      <c r="CZ279" s="268">
        <v>0</v>
      </c>
      <c r="DA279" s="268">
        <v>0</v>
      </c>
      <c r="DB279" s="268">
        <v>0</v>
      </c>
      <c r="DC279" s="268">
        <v>0</v>
      </c>
      <c r="DD279" s="268">
        <v>0</v>
      </c>
      <c r="DE279" s="268">
        <v>0</v>
      </c>
      <c r="DF279" s="268">
        <v>0</v>
      </c>
      <c r="DG279" s="268">
        <v>0</v>
      </c>
      <c r="DH279" s="268">
        <v>0</v>
      </c>
      <c r="DI279" s="268">
        <v>0</v>
      </c>
      <c r="DJ279" s="268">
        <v>0</v>
      </c>
      <c r="DK279" s="268">
        <v>0</v>
      </c>
      <c r="DL279" s="268">
        <v>0</v>
      </c>
    </row>
    <row r="280" spans="90:116" ht="28" customHeight="1" x14ac:dyDescent="0.35">
      <c r="CL280" s="201" t="s">
        <v>143</v>
      </c>
      <c r="CM280" s="204">
        <f>IFERROR(SUM(CM277:CM279),0)</f>
        <v>18014072</v>
      </c>
      <c r="CN280" s="204">
        <f>IFERROR(SUM(CN277:CN279),0)</f>
        <v>17679254</v>
      </c>
      <c r="CO280" s="204">
        <f t="shared" ref="CO280:DL280" si="13">IFERROR(SUM(CO277:CO279),0)</f>
        <v>19088792</v>
      </c>
      <c r="CP280" s="204">
        <f t="shared" si="13"/>
        <v>18474470</v>
      </c>
      <c r="CQ280" s="204">
        <f t="shared" si="13"/>
        <v>18198411</v>
      </c>
      <c r="CR280" s="204">
        <f t="shared" si="13"/>
        <v>17579077</v>
      </c>
      <c r="CS280" s="204">
        <f t="shared" si="13"/>
        <v>17423954</v>
      </c>
      <c r="CT280" s="204">
        <f t="shared" si="13"/>
        <v>16912151</v>
      </c>
      <c r="CU280" s="204">
        <f t="shared" si="13"/>
        <v>16640451</v>
      </c>
      <c r="CV280" s="204">
        <f t="shared" si="13"/>
        <v>16799157</v>
      </c>
      <c r="CW280" s="204">
        <f t="shared" si="13"/>
        <v>19652101</v>
      </c>
      <c r="CX280" s="204">
        <f t="shared" si="13"/>
        <v>16747271</v>
      </c>
      <c r="CY280" s="204">
        <f t="shared" si="13"/>
        <v>15672965</v>
      </c>
      <c r="CZ280" s="204">
        <f t="shared" si="13"/>
        <v>14974111</v>
      </c>
      <c r="DA280" s="204">
        <f t="shared" si="13"/>
        <v>16130889</v>
      </c>
      <c r="DB280" s="204">
        <f t="shared" si="13"/>
        <v>15945049</v>
      </c>
      <c r="DC280" s="204">
        <f t="shared" si="13"/>
        <v>15233074</v>
      </c>
      <c r="DD280" s="204">
        <f t="shared" si="13"/>
        <v>14362463</v>
      </c>
      <c r="DE280" s="204">
        <f t="shared" si="13"/>
        <v>15591759</v>
      </c>
      <c r="DF280" s="204">
        <f t="shared" si="13"/>
        <v>14030800</v>
      </c>
      <c r="DG280" s="204">
        <f t="shared" si="13"/>
        <v>13351824</v>
      </c>
      <c r="DH280" s="204">
        <f t="shared" si="13"/>
        <v>13240894</v>
      </c>
      <c r="DI280" s="204">
        <f t="shared" si="13"/>
        <v>14031680</v>
      </c>
      <c r="DJ280" s="204">
        <f t="shared" si="13"/>
        <v>12994406</v>
      </c>
      <c r="DK280" s="204">
        <f t="shared" si="13"/>
        <v>12809453</v>
      </c>
      <c r="DL280" s="204">
        <f t="shared" si="13"/>
        <v>13473601</v>
      </c>
    </row>
    <row r="281" spans="90:116" ht="20.149999999999999" customHeight="1" x14ac:dyDescent="0.35"/>
    <row r="282" spans="90:116" ht="20.149999999999999" customHeight="1" x14ac:dyDescent="0.35"/>
    <row r="283" spans="90:116" ht="59.5" customHeight="1" x14ac:dyDescent="0.35">
      <c r="CL283" s="200" t="s">
        <v>693</v>
      </c>
      <c r="CM283" s="167" t="str">
        <f>CM266</f>
        <v>2T | 2026</v>
      </c>
      <c r="CN283" s="167" t="str">
        <f>CN266</f>
        <v>1T | 2026</v>
      </c>
      <c r="CO283" s="167" t="str">
        <f t="shared" ref="CO283:DL283" si="14">CO266</f>
        <v>4T | 2025</v>
      </c>
      <c r="CP283" s="167" t="str">
        <f t="shared" si="14"/>
        <v>3T | 2025</v>
      </c>
      <c r="CQ283" s="167" t="str">
        <f t="shared" si="14"/>
        <v>2T | 2025</v>
      </c>
      <c r="CR283" s="167" t="str">
        <f t="shared" si="14"/>
        <v>1T | 2025</v>
      </c>
      <c r="CS283" s="167" t="str">
        <f t="shared" si="14"/>
        <v>4T | 2024</v>
      </c>
      <c r="CT283" s="167" t="str">
        <f t="shared" si="14"/>
        <v>3T | 2024</v>
      </c>
      <c r="CU283" s="167" t="str">
        <f t="shared" si="14"/>
        <v>2T | 2024</v>
      </c>
      <c r="CV283" s="167" t="str">
        <f t="shared" si="14"/>
        <v>1T | 2024</v>
      </c>
      <c r="CW283" s="167" t="str">
        <f t="shared" si="14"/>
        <v>4T | 2023</v>
      </c>
      <c r="CX283" s="167" t="str">
        <f t="shared" si="14"/>
        <v>3T | 2023</v>
      </c>
      <c r="CY283" s="167" t="str">
        <f t="shared" si="14"/>
        <v>2T | 2023</v>
      </c>
      <c r="CZ283" s="167" t="str">
        <f t="shared" si="14"/>
        <v>1T | 2023</v>
      </c>
      <c r="DA283" s="167" t="str">
        <f t="shared" si="14"/>
        <v>4T | 2022</v>
      </c>
      <c r="DB283" s="167" t="str">
        <f t="shared" si="14"/>
        <v>3T | 2022</v>
      </c>
      <c r="DC283" s="167" t="str">
        <f t="shared" si="14"/>
        <v>2T | 2022</v>
      </c>
      <c r="DD283" s="167" t="str">
        <f t="shared" si="14"/>
        <v>1T | 2022</v>
      </c>
      <c r="DE283" s="167" t="str">
        <f t="shared" si="14"/>
        <v>4T | 2021</v>
      </c>
      <c r="DF283" s="167" t="str">
        <f t="shared" si="14"/>
        <v>3T | 2021</v>
      </c>
      <c r="DG283" s="167" t="str">
        <f t="shared" si="14"/>
        <v>2T | 2021</v>
      </c>
      <c r="DH283" s="167" t="str">
        <f t="shared" si="14"/>
        <v>1T | 2021</v>
      </c>
      <c r="DI283" s="167" t="str">
        <f t="shared" si="14"/>
        <v>4T | 2020</v>
      </c>
      <c r="DJ283" s="167" t="str">
        <f t="shared" si="14"/>
        <v>3T | 2020</v>
      </c>
      <c r="DK283" s="167" t="str">
        <f t="shared" si="14"/>
        <v>2T | 2020</v>
      </c>
      <c r="DL283" s="167" t="str">
        <f t="shared" si="14"/>
        <v>1T | 2020</v>
      </c>
    </row>
    <row r="284" spans="90:116" ht="20.149999999999999" customHeight="1" x14ac:dyDescent="0.35">
      <c r="CL284" s="49" t="s">
        <v>679</v>
      </c>
      <c r="CM284" s="50">
        <v>3756182</v>
      </c>
      <c r="CN284" s="50">
        <v>3810859</v>
      </c>
      <c r="CO284" s="50">
        <v>3908144</v>
      </c>
      <c r="CP284" s="50">
        <v>3554363</v>
      </c>
      <c r="CQ284" s="50">
        <v>3374148</v>
      </c>
      <c r="CR284" s="50">
        <v>3422558</v>
      </c>
      <c r="CS284" s="50">
        <v>3654240</v>
      </c>
      <c r="CT284" s="50">
        <v>3123509</v>
      </c>
      <c r="CU284" s="50">
        <v>3066719</v>
      </c>
      <c r="CV284" s="50">
        <v>3126496</v>
      </c>
      <c r="CW284" s="50">
        <v>3169467</v>
      </c>
      <c r="CX284" s="50">
        <v>2698430</v>
      </c>
      <c r="CY284" s="50">
        <v>2531656</v>
      </c>
      <c r="CZ284" s="50">
        <v>2394792</v>
      </c>
      <c r="DA284" s="50">
        <v>2213634</v>
      </c>
      <c r="DB284" s="50">
        <v>2079671</v>
      </c>
      <c r="DC284" s="50">
        <v>2724030</v>
      </c>
      <c r="DD284" s="50">
        <v>3115806</v>
      </c>
      <c r="DE284" s="50">
        <v>2985871</v>
      </c>
      <c r="DF284" s="50">
        <v>2857041</v>
      </c>
      <c r="DG284" s="50">
        <v>2620985</v>
      </c>
      <c r="DH284" s="50">
        <v>2659585</v>
      </c>
      <c r="DI284" s="50">
        <v>2599774</v>
      </c>
      <c r="DJ284" s="50">
        <v>2408833</v>
      </c>
      <c r="DK284" s="50">
        <v>2307578</v>
      </c>
      <c r="DL284" s="50">
        <v>2559054</v>
      </c>
    </row>
    <row r="285" spans="90:116" ht="20.149999999999999" customHeight="1" x14ac:dyDescent="0.35">
      <c r="CL285" s="36" t="s">
        <v>680</v>
      </c>
      <c r="CM285" s="202">
        <v>1219393</v>
      </c>
      <c r="CN285" s="202">
        <v>1102746</v>
      </c>
      <c r="CO285" s="202">
        <v>1300465</v>
      </c>
      <c r="CP285" s="202">
        <v>1321631</v>
      </c>
      <c r="CQ285" s="202">
        <v>1278269</v>
      </c>
      <c r="CR285" s="202">
        <v>1204333</v>
      </c>
      <c r="CS285" s="202">
        <v>1372739</v>
      </c>
      <c r="CT285" s="202">
        <v>1378843</v>
      </c>
      <c r="CU285" s="202">
        <v>1326674</v>
      </c>
      <c r="CV285" s="202">
        <v>1298596</v>
      </c>
      <c r="CW285" s="202">
        <v>1470323</v>
      </c>
      <c r="CX285" s="202">
        <v>1517529</v>
      </c>
      <c r="CY285" s="202">
        <v>1475346</v>
      </c>
      <c r="CZ285" s="202">
        <v>1439741</v>
      </c>
      <c r="DA285" s="202">
        <v>1529219</v>
      </c>
      <c r="DB285" s="202">
        <v>1548322</v>
      </c>
      <c r="DC285" s="202">
        <v>1520467</v>
      </c>
      <c r="DD285" s="202">
        <v>1393200</v>
      </c>
      <c r="DE285" s="202">
        <v>1405874</v>
      </c>
      <c r="DF285" s="202">
        <v>1389273</v>
      </c>
      <c r="DG285" s="202">
        <v>1269674</v>
      </c>
      <c r="DH285" s="202">
        <v>1210151</v>
      </c>
      <c r="DI285" s="202">
        <v>1126681</v>
      </c>
      <c r="DJ285" s="202">
        <v>1062910</v>
      </c>
      <c r="DK285" s="202">
        <v>934197</v>
      </c>
      <c r="DL285" s="202">
        <v>1047152</v>
      </c>
    </row>
    <row r="286" spans="90:116" ht="20.149999999999999" customHeight="1" x14ac:dyDescent="0.35">
      <c r="CL286" s="36" t="s">
        <v>681</v>
      </c>
      <c r="CM286" s="202">
        <v>1716905</v>
      </c>
      <c r="CN286" s="202">
        <v>1716199</v>
      </c>
      <c r="CO286" s="202">
        <v>1823222</v>
      </c>
      <c r="CP286" s="202">
        <v>1685040</v>
      </c>
      <c r="CQ286" s="202">
        <v>1650182</v>
      </c>
      <c r="CR286" s="202">
        <v>1646848</v>
      </c>
      <c r="CS286" s="202">
        <v>1752088</v>
      </c>
      <c r="CT286" s="202">
        <v>1577181</v>
      </c>
      <c r="CU286" s="202">
        <v>1609719</v>
      </c>
      <c r="CV286" s="202">
        <v>1674462</v>
      </c>
      <c r="CW286" s="202">
        <v>1706210</v>
      </c>
      <c r="CX286" s="202">
        <v>1507626</v>
      </c>
      <c r="CY286" s="202">
        <v>1597321</v>
      </c>
      <c r="CZ286" s="202">
        <v>1503080</v>
      </c>
      <c r="DA286" s="202">
        <v>1416454</v>
      </c>
      <c r="DB286" s="202">
        <v>1339523</v>
      </c>
      <c r="DC286" s="202">
        <v>1655806</v>
      </c>
      <c r="DD286" s="202">
        <v>1743177</v>
      </c>
      <c r="DE286" s="202">
        <v>1572813</v>
      </c>
      <c r="DF286" s="202">
        <v>1363317</v>
      </c>
      <c r="DG286" s="202">
        <v>1263457</v>
      </c>
      <c r="DH286" s="202">
        <v>1320731</v>
      </c>
      <c r="DI286" s="202">
        <v>1275885</v>
      </c>
      <c r="DJ286" s="202">
        <v>1125855</v>
      </c>
      <c r="DK286" s="202">
        <v>1136848</v>
      </c>
      <c r="DL286" s="202">
        <v>1440399</v>
      </c>
    </row>
    <row r="287" spans="90:116" ht="20.149999999999999" customHeight="1" x14ac:dyDescent="0.35">
      <c r="CL287" s="36" t="s">
        <v>682</v>
      </c>
      <c r="CM287" s="202">
        <v>662337</v>
      </c>
      <c r="CN287" s="202">
        <v>536824</v>
      </c>
      <c r="CO287" s="202">
        <v>737698</v>
      </c>
      <c r="CP287" s="202">
        <v>767867</v>
      </c>
      <c r="CQ287" s="202">
        <v>643413</v>
      </c>
      <c r="CR287" s="202">
        <v>516804</v>
      </c>
      <c r="CS287" s="202">
        <v>659721</v>
      </c>
      <c r="CT287" s="202">
        <v>735049</v>
      </c>
      <c r="CU287" s="202">
        <v>599558</v>
      </c>
      <c r="CV287" s="202">
        <v>533356</v>
      </c>
      <c r="CW287" s="202">
        <v>641985</v>
      </c>
      <c r="CX287" s="202">
        <v>664428</v>
      </c>
      <c r="CY287" s="202">
        <v>538750</v>
      </c>
      <c r="CZ287" s="202">
        <v>392758</v>
      </c>
      <c r="DA287" s="202">
        <v>477177</v>
      </c>
      <c r="DB287" s="202">
        <v>541205</v>
      </c>
      <c r="DC287" s="202">
        <v>541861</v>
      </c>
      <c r="DD287" s="202">
        <v>489779</v>
      </c>
      <c r="DE287" s="202">
        <v>637893</v>
      </c>
      <c r="DF287" s="202">
        <v>764005</v>
      </c>
      <c r="DG287" s="202">
        <v>629219</v>
      </c>
      <c r="DH287" s="202">
        <v>534815</v>
      </c>
      <c r="DI287" s="202">
        <v>572930</v>
      </c>
      <c r="DJ287" s="202">
        <v>632227</v>
      </c>
      <c r="DK287" s="202">
        <v>511810</v>
      </c>
      <c r="DL287" s="202">
        <v>472819</v>
      </c>
    </row>
    <row r="288" spans="90:116" ht="20.149999999999999" customHeight="1" x14ac:dyDescent="0.35">
      <c r="CL288" s="36" t="s">
        <v>683</v>
      </c>
      <c r="CM288" s="202">
        <v>254458</v>
      </c>
      <c r="CN288" s="202">
        <v>241090</v>
      </c>
      <c r="CO288" s="202">
        <v>272083</v>
      </c>
      <c r="CP288" s="202">
        <v>231541</v>
      </c>
      <c r="CQ288" s="202">
        <v>229246</v>
      </c>
      <c r="CR288" s="202">
        <v>227803</v>
      </c>
      <c r="CS288" s="202">
        <v>261667</v>
      </c>
      <c r="CT288" s="202">
        <v>219664</v>
      </c>
      <c r="CU288" s="202">
        <v>232496</v>
      </c>
      <c r="CV288" s="202">
        <v>223285</v>
      </c>
      <c r="CW288" s="202">
        <v>243756</v>
      </c>
      <c r="CX288" s="202">
        <v>190624</v>
      </c>
      <c r="CY288" s="202">
        <v>186873</v>
      </c>
      <c r="CZ288" s="202">
        <v>164544</v>
      </c>
      <c r="DA288" s="202">
        <v>160136</v>
      </c>
      <c r="DB288" s="202">
        <v>144977</v>
      </c>
      <c r="DC288" s="202">
        <v>176026</v>
      </c>
      <c r="DD288" s="202">
        <v>179314</v>
      </c>
      <c r="DE288" s="202">
        <v>177605</v>
      </c>
      <c r="DF288" s="202">
        <v>140233</v>
      </c>
      <c r="DG288" s="202">
        <v>128263</v>
      </c>
      <c r="DH288" s="202">
        <v>137104</v>
      </c>
      <c r="DI288" s="202">
        <v>130112</v>
      </c>
      <c r="DJ288" s="202">
        <v>112958</v>
      </c>
      <c r="DK288" s="202">
        <v>121381</v>
      </c>
      <c r="DL288" s="202">
        <v>157868</v>
      </c>
    </row>
    <row r="289" spans="90:116" ht="20.149999999999999" customHeight="1" x14ac:dyDescent="0.35">
      <c r="CL289" s="36" t="s">
        <v>684</v>
      </c>
      <c r="CM289" s="202">
        <v>151440</v>
      </c>
      <c r="CN289" s="202">
        <v>142727</v>
      </c>
      <c r="CO289" s="202">
        <v>157822</v>
      </c>
      <c r="CP289" s="202">
        <v>163736</v>
      </c>
      <c r="CQ289" s="202">
        <v>140046</v>
      </c>
      <c r="CR289" s="202">
        <v>128335</v>
      </c>
      <c r="CS289" s="202">
        <v>141545</v>
      </c>
      <c r="CT289" s="202">
        <v>141116</v>
      </c>
      <c r="CU289" s="202">
        <v>131933</v>
      </c>
      <c r="CV289" s="202">
        <v>130982</v>
      </c>
      <c r="CW289" s="202">
        <v>133719</v>
      </c>
      <c r="CX289" s="202">
        <v>120576</v>
      </c>
      <c r="CY289" s="202">
        <v>126351</v>
      </c>
      <c r="CZ289" s="202">
        <v>116991</v>
      </c>
      <c r="DA289" s="202">
        <v>110772</v>
      </c>
      <c r="DB289" s="202">
        <v>120307</v>
      </c>
      <c r="DC289" s="202">
        <v>136207</v>
      </c>
      <c r="DD289" s="202">
        <v>167372</v>
      </c>
      <c r="DE289" s="202">
        <v>182096</v>
      </c>
      <c r="DF289" s="202">
        <v>174829</v>
      </c>
      <c r="DG289" s="202">
        <v>149098</v>
      </c>
      <c r="DH289" s="202">
        <v>211955</v>
      </c>
      <c r="DI289" s="202">
        <v>109058</v>
      </c>
      <c r="DJ289" s="202">
        <v>145863</v>
      </c>
      <c r="DK289" s="202">
        <v>142679</v>
      </c>
      <c r="DL289" s="202">
        <v>152776</v>
      </c>
    </row>
    <row r="290" spans="90:116" ht="20.149999999999999" customHeight="1" x14ac:dyDescent="0.35">
      <c r="CL290" s="36" t="s">
        <v>685</v>
      </c>
      <c r="CM290" s="202">
        <v>111613</v>
      </c>
      <c r="CN290" s="202">
        <v>122887</v>
      </c>
      <c r="CO290" s="202">
        <v>139171</v>
      </c>
      <c r="CP290" s="202">
        <v>147382</v>
      </c>
      <c r="CQ290" s="202">
        <v>146260</v>
      </c>
      <c r="CR290" s="202">
        <v>150285</v>
      </c>
      <c r="CS290" s="202">
        <v>184125</v>
      </c>
      <c r="CT290" s="202">
        <v>183657</v>
      </c>
      <c r="CU290" s="202">
        <v>174633</v>
      </c>
      <c r="CV290" s="202">
        <v>185343</v>
      </c>
      <c r="CW290" s="202">
        <v>208204</v>
      </c>
      <c r="CX290" s="202">
        <v>203362</v>
      </c>
      <c r="CY290" s="202">
        <v>167976</v>
      </c>
      <c r="CZ290" s="202">
        <v>164251</v>
      </c>
      <c r="DA290" s="202">
        <v>181167</v>
      </c>
      <c r="DB290" s="202">
        <v>192393</v>
      </c>
      <c r="DC290" s="202">
        <v>220138</v>
      </c>
      <c r="DD290" s="202">
        <v>246977</v>
      </c>
      <c r="DE290" s="202">
        <v>248629</v>
      </c>
      <c r="DF290" s="202">
        <v>238744</v>
      </c>
      <c r="DG290" s="202">
        <v>197094</v>
      </c>
      <c r="DH290" s="202">
        <v>194880</v>
      </c>
      <c r="DI290" s="202">
        <v>178147</v>
      </c>
      <c r="DJ290" s="202">
        <v>186818</v>
      </c>
      <c r="DK290" s="202">
        <v>177860</v>
      </c>
      <c r="DL290" s="202">
        <v>178663</v>
      </c>
    </row>
    <row r="291" spans="90:116" ht="25" customHeight="1" x14ac:dyDescent="0.35">
      <c r="CL291" s="4" t="s">
        <v>686</v>
      </c>
      <c r="CM291" s="209">
        <f>IFERROR(SUM(CM284:CM290),0)</f>
        <v>7872328</v>
      </c>
      <c r="CN291" s="209">
        <f t="shared" ref="CN291:DL291" si="15">IFERROR(SUM(CN284:CN290),0)</f>
        <v>7673332</v>
      </c>
      <c r="CO291" s="209">
        <f t="shared" si="15"/>
        <v>8338605</v>
      </c>
      <c r="CP291" s="209">
        <f t="shared" si="15"/>
        <v>7871560</v>
      </c>
      <c r="CQ291" s="209">
        <f t="shared" si="15"/>
        <v>7461564</v>
      </c>
      <c r="CR291" s="209">
        <f t="shared" si="15"/>
        <v>7296966</v>
      </c>
      <c r="CS291" s="209">
        <f t="shared" si="15"/>
        <v>8026125</v>
      </c>
      <c r="CT291" s="209">
        <f t="shared" si="15"/>
        <v>7359019</v>
      </c>
      <c r="CU291" s="209">
        <f t="shared" si="15"/>
        <v>7141732</v>
      </c>
      <c r="CV291" s="209">
        <f t="shared" si="15"/>
        <v>7172520</v>
      </c>
      <c r="CW291" s="209">
        <f t="shared" si="15"/>
        <v>7573664</v>
      </c>
      <c r="CX291" s="209">
        <f t="shared" si="15"/>
        <v>6902575</v>
      </c>
      <c r="CY291" s="209">
        <f t="shared" si="15"/>
        <v>6624273</v>
      </c>
      <c r="CZ291" s="209">
        <f t="shared" si="15"/>
        <v>6176157</v>
      </c>
      <c r="DA291" s="209">
        <f t="shared" si="15"/>
        <v>6088559</v>
      </c>
      <c r="DB291" s="209">
        <f t="shared" si="15"/>
        <v>5966398</v>
      </c>
      <c r="DC291" s="209">
        <f t="shared" si="15"/>
        <v>6974535</v>
      </c>
      <c r="DD291" s="209">
        <f t="shared" si="15"/>
        <v>7335625</v>
      </c>
      <c r="DE291" s="209">
        <f t="shared" si="15"/>
        <v>7210781</v>
      </c>
      <c r="DF291" s="209">
        <f t="shared" si="15"/>
        <v>6927442</v>
      </c>
      <c r="DG291" s="209">
        <f t="shared" si="15"/>
        <v>6257790</v>
      </c>
      <c r="DH291" s="209">
        <f t="shared" si="15"/>
        <v>6269221</v>
      </c>
      <c r="DI291" s="209">
        <f t="shared" si="15"/>
        <v>5992587</v>
      </c>
      <c r="DJ291" s="209">
        <f t="shared" si="15"/>
        <v>5675464</v>
      </c>
      <c r="DK291" s="209">
        <f t="shared" si="15"/>
        <v>5332353</v>
      </c>
      <c r="DL291" s="209">
        <f t="shared" si="15"/>
        <v>6008731</v>
      </c>
    </row>
    <row r="292" spans="90:116" ht="20.149999999999999" customHeight="1" x14ac:dyDescent="0.35">
      <c r="CL292" s="36" t="s">
        <v>687</v>
      </c>
      <c r="CM292" s="208">
        <v>0</v>
      </c>
      <c r="CN292" s="208">
        <v>0</v>
      </c>
      <c r="CO292" s="208">
        <v>0</v>
      </c>
      <c r="CP292" s="208">
        <v>0</v>
      </c>
      <c r="CQ292" s="208">
        <v>0</v>
      </c>
      <c r="CR292" s="208">
        <v>0</v>
      </c>
      <c r="CS292" s="208">
        <v>0</v>
      </c>
      <c r="CT292" s="208">
        <v>0</v>
      </c>
      <c r="CU292" s="208">
        <v>0</v>
      </c>
      <c r="CV292" s="208">
        <v>0</v>
      </c>
      <c r="CW292" s="208">
        <v>0</v>
      </c>
      <c r="CX292" s="208">
        <v>0</v>
      </c>
      <c r="CY292" s="208">
        <v>0</v>
      </c>
      <c r="CZ292" s="208">
        <v>0</v>
      </c>
      <c r="DA292" s="208">
        <v>0</v>
      </c>
      <c r="DB292" s="208">
        <v>0</v>
      </c>
      <c r="DC292" s="208">
        <v>0</v>
      </c>
      <c r="DD292" s="208">
        <v>0</v>
      </c>
      <c r="DE292" s="208">
        <v>0</v>
      </c>
      <c r="DF292" s="208">
        <v>0</v>
      </c>
      <c r="DG292" s="208">
        <v>0</v>
      </c>
      <c r="DH292" s="208">
        <v>0</v>
      </c>
      <c r="DI292" s="208">
        <v>0</v>
      </c>
      <c r="DJ292" s="208">
        <v>0</v>
      </c>
      <c r="DK292" s="208">
        <v>0</v>
      </c>
      <c r="DL292" s="208">
        <v>0</v>
      </c>
    </row>
    <row r="293" spans="90:116" ht="20.149999999999999" customHeight="1" x14ac:dyDescent="0.35">
      <c r="CL293" s="36" t="s">
        <v>688</v>
      </c>
      <c r="CM293" s="202">
        <v>-104461</v>
      </c>
      <c r="CN293" s="202">
        <v>75814</v>
      </c>
      <c r="CO293" s="202">
        <v>27228</v>
      </c>
      <c r="CP293" s="202">
        <v>-113145</v>
      </c>
      <c r="CQ293" s="202">
        <v>77702</v>
      </c>
      <c r="CR293" s="202">
        <v>-32457</v>
      </c>
      <c r="CS293" s="202">
        <v>224546</v>
      </c>
      <c r="CT293" s="202">
        <v>-46050</v>
      </c>
      <c r="CU293" s="202">
        <v>68410</v>
      </c>
      <c r="CV293" s="202">
        <v>-155322</v>
      </c>
      <c r="CW293" s="202">
        <v>108855</v>
      </c>
      <c r="CX293" s="202">
        <v>91649</v>
      </c>
      <c r="CY293" s="202">
        <v>-47525</v>
      </c>
      <c r="CZ293" s="202">
        <v>13439</v>
      </c>
      <c r="DA293" s="202">
        <v>-300852</v>
      </c>
      <c r="DB293" s="202">
        <v>61143</v>
      </c>
      <c r="DC293" s="202">
        <v>-26837</v>
      </c>
      <c r="DD293" s="202">
        <v>77884</v>
      </c>
      <c r="DE293" s="202">
        <v>50431</v>
      </c>
      <c r="DF293" s="202">
        <v>-14988</v>
      </c>
      <c r="DG293" s="202">
        <v>-55728</v>
      </c>
      <c r="DH293" s="202">
        <v>5794</v>
      </c>
      <c r="DI293" s="202">
        <v>156755</v>
      </c>
      <c r="DJ293" s="202">
        <v>109738</v>
      </c>
      <c r="DK293" s="202">
        <v>-104793</v>
      </c>
      <c r="DL293" s="202">
        <v>-152833</v>
      </c>
    </row>
    <row r="294" spans="90:116" ht="25" customHeight="1" x14ac:dyDescent="0.35">
      <c r="CL294" s="4" t="s">
        <v>686</v>
      </c>
      <c r="CM294" s="209">
        <f>IFERROR(SUM(CM291:CM293),0)</f>
        <v>7767867</v>
      </c>
      <c r="CN294" s="209">
        <f>IFERROR(SUM(CN291:CN293),0)</f>
        <v>7749146</v>
      </c>
      <c r="CO294" s="209">
        <f t="shared" ref="CO294:DL294" si="16">IFERROR(SUM(CO291:CO293),0)</f>
        <v>8365833</v>
      </c>
      <c r="CP294" s="209">
        <f t="shared" si="16"/>
        <v>7758415</v>
      </c>
      <c r="CQ294" s="209">
        <f t="shared" si="16"/>
        <v>7539266</v>
      </c>
      <c r="CR294" s="209">
        <f t="shared" si="16"/>
        <v>7264509</v>
      </c>
      <c r="CS294" s="209">
        <f t="shared" si="16"/>
        <v>8250671</v>
      </c>
      <c r="CT294" s="209">
        <f t="shared" si="16"/>
        <v>7312969</v>
      </c>
      <c r="CU294" s="209">
        <f t="shared" si="16"/>
        <v>7210142</v>
      </c>
      <c r="CV294" s="209">
        <f t="shared" si="16"/>
        <v>7017198</v>
      </c>
      <c r="CW294" s="209">
        <f t="shared" si="16"/>
        <v>7682519</v>
      </c>
      <c r="CX294" s="209">
        <f t="shared" si="16"/>
        <v>6994224</v>
      </c>
      <c r="CY294" s="209">
        <f t="shared" si="16"/>
        <v>6576748</v>
      </c>
      <c r="CZ294" s="209">
        <f t="shared" si="16"/>
        <v>6189596</v>
      </c>
      <c r="DA294" s="209">
        <f t="shared" si="16"/>
        <v>5787707</v>
      </c>
      <c r="DB294" s="209">
        <f t="shared" si="16"/>
        <v>6027541</v>
      </c>
      <c r="DC294" s="209">
        <f t="shared" si="16"/>
        <v>6947698</v>
      </c>
      <c r="DD294" s="209">
        <f t="shared" si="16"/>
        <v>7413509</v>
      </c>
      <c r="DE294" s="209">
        <f t="shared" si="16"/>
        <v>7261212</v>
      </c>
      <c r="DF294" s="209">
        <f t="shared" si="16"/>
        <v>6912454</v>
      </c>
      <c r="DG294" s="209">
        <f t="shared" si="16"/>
        <v>6202062</v>
      </c>
      <c r="DH294" s="209">
        <f t="shared" si="16"/>
        <v>6275015</v>
      </c>
      <c r="DI294" s="209">
        <f t="shared" si="16"/>
        <v>6149342</v>
      </c>
      <c r="DJ294" s="209">
        <f t="shared" si="16"/>
        <v>5785202</v>
      </c>
      <c r="DK294" s="209">
        <f t="shared" si="16"/>
        <v>5227560</v>
      </c>
      <c r="DL294" s="209">
        <f t="shared" si="16"/>
        <v>5855898</v>
      </c>
    </row>
    <row r="295" spans="90:116" ht="20.149999999999999" customHeight="1" x14ac:dyDescent="0.35">
      <c r="CL295" s="36" t="s">
        <v>689</v>
      </c>
      <c r="CM295" s="208">
        <v>1262389</v>
      </c>
      <c r="CN295" s="208">
        <v>1242619</v>
      </c>
      <c r="CO295" s="208">
        <v>1352620</v>
      </c>
      <c r="CP295" s="208">
        <v>1254410</v>
      </c>
      <c r="CQ295" s="208">
        <v>1162502</v>
      </c>
      <c r="CR295" s="208">
        <v>1191775</v>
      </c>
      <c r="CS295" s="208">
        <v>1338863</v>
      </c>
      <c r="CT295" s="208">
        <v>1143909</v>
      </c>
      <c r="CU295" s="208">
        <v>966330</v>
      </c>
      <c r="CV295" s="208">
        <v>1051019</v>
      </c>
      <c r="CW295" s="208">
        <v>1206718</v>
      </c>
      <c r="CX295" s="208">
        <v>1042287</v>
      </c>
      <c r="CY295" s="208">
        <v>969884</v>
      </c>
      <c r="CZ295" s="208">
        <v>964188</v>
      </c>
      <c r="DA295" s="208">
        <v>1105217</v>
      </c>
      <c r="DB295" s="208">
        <v>1037053</v>
      </c>
      <c r="DC295" s="208">
        <v>884910</v>
      </c>
      <c r="DD295" s="208">
        <v>866323</v>
      </c>
      <c r="DE295" s="208">
        <v>862232</v>
      </c>
      <c r="DF295" s="208">
        <v>757429</v>
      </c>
      <c r="DG295" s="208">
        <v>653719</v>
      </c>
      <c r="DH295" s="208">
        <v>750541</v>
      </c>
      <c r="DI295" s="208">
        <v>956480</v>
      </c>
      <c r="DJ295" s="208">
        <v>818168</v>
      </c>
      <c r="DK295" s="208">
        <v>726004</v>
      </c>
      <c r="DL295" s="208">
        <v>862360</v>
      </c>
    </row>
    <row r="296" spans="90:116" ht="20.149999999999999" customHeight="1" x14ac:dyDescent="0.35">
      <c r="CL296" s="251" t="s">
        <v>690</v>
      </c>
      <c r="CM296" s="268">
        <v>25655</v>
      </c>
      <c r="CN296" s="268">
        <v>3371</v>
      </c>
      <c r="CO296" s="268">
        <v>43496</v>
      </c>
      <c r="CP296" s="268">
        <v>66474</v>
      </c>
      <c r="CQ296" s="268">
        <v>-15389</v>
      </c>
      <c r="CR296" s="268">
        <v>-81872</v>
      </c>
      <c r="CS296" s="268">
        <v>32375</v>
      </c>
      <c r="CT296" s="268">
        <v>99218</v>
      </c>
      <c r="CU296" s="268">
        <v>-32395</v>
      </c>
      <c r="CV296" s="268">
        <v>-49073</v>
      </c>
      <c r="CW296" s="268">
        <v>28225</v>
      </c>
      <c r="CX296" s="268">
        <v>93509</v>
      </c>
      <c r="CY296" s="268">
        <v>-17993</v>
      </c>
      <c r="CZ296" s="268">
        <v>-58440</v>
      </c>
      <c r="DA296" s="268">
        <v>11074</v>
      </c>
      <c r="DB296" s="268">
        <v>41188</v>
      </c>
      <c r="DC296" s="268">
        <v>11944</v>
      </c>
      <c r="DD296" s="268">
        <v>24224</v>
      </c>
      <c r="DE296" s="268">
        <v>-33972</v>
      </c>
      <c r="DF296" s="268">
        <v>70329</v>
      </c>
      <c r="DG296" s="268">
        <v>-18048</v>
      </c>
      <c r="DH296" s="268">
        <v>-73719</v>
      </c>
      <c r="DI296" s="268">
        <v>-54104</v>
      </c>
      <c r="DJ296" s="268">
        <v>89541</v>
      </c>
      <c r="DK296" s="268">
        <v>-33550</v>
      </c>
      <c r="DL296" s="268">
        <v>49180</v>
      </c>
    </row>
    <row r="297" spans="90:116" ht="28" customHeight="1" x14ac:dyDescent="0.35">
      <c r="CL297" s="201" t="s">
        <v>143</v>
      </c>
      <c r="CM297" s="204">
        <f>IFERROR(SUM(CM294:CM296),0)</f>
        <v>9055911</v>
      </c>
      <c r="CN297" s="204">
        <f>IFERROR(SUM(CN294:CN296),0)</f>
        <v>8995136</v>
      </c>
      <c r="CO297" s="204">
        <f t="shared" ref="CO297:DL297" si="17">IFERROR(SUM(CO294:CO296),0)</f>
        <v>9761949</v>
      </c>
      <c r="CP297" s="204">
        <f t="shared" si="17"/>
        <v>9079299</v>
      </c>
      <c r="CQ297" s="204">
        <f t="shared" si="17"/>
        <v>8686379</v>
      </c>
      <c r="CR297" s="204">
        <f t="shared" si="17"/>
        <v>8374412</v>
      </c>
      <c r="CS297" s="204">
        <f t="shared" si="17"/>
        <v>9621909</v>
      </c>
      <c r="CT297" s="204">
        <f t="shared" si="17"/>
        <v>8556096</v>
      </c>
      <c r="CU297" s="204">
        <f t="shared" si="17"/>
        <v>8144077</v>
      </c>
      <c r="CV297" s="204">
        <f t="shared" si="17"/>
        <v>8019144</v>
      </c>
      <c r="CW297" s="204">
        <f t="shared" si="17"/>
        <v>8917462</v>
      </c>
      <c r="CX297" s="204">
        <f t="shared" si="17"/>
        <v>8130020</v>
      </c>
      <c r="CY297" s="204">
        <f t="shared" si="17"/>
        <v>7528639</v>
      </c>
      <c r="CZ297" s="204">
        <f t="shared" si="17"/>
        <v>7095344</v>
      </c>
      <c r="DA297" s="204">
        <f t="shared" si="17"/>
        <v>6903998</v>
      </c>
      <c r="DB297" s="204">
        <f t="shared" si="17"/>
        <v>7105782</v>
      </c>
      <c r="DC297" s="204">
        <f t="shared" si="17"/>
        <v>7844552</v>
      </c>
      <c r="DD297" s="204">
        <f t="shared" si="17"/>
        <v>8304056</v>
      </c>
      <c r="DE297" s="204">
        <f t="shared" si="17"/>
        <v>8089472</v>
      </c>
      <c r="DF297" s="204">
        <f t="shared" si="17"/>
        <v>7740212</v>
      </c>
      <c r="DG297" s="204">
        <f t="shared" si="17"/>
        <v>6837733</v>
      </c>
      <c r="DH297" s="204">
        <f t="shared" si="17"/>
        <v>6951837</v>
      </c>
      <c r="DI297" s="204">
        <f t="shared" si="17"/>
        <v>7051718</v>
      </c>
      <c r="DJ297" s="204">
        <f t="shared" si="17"/>
        <v>6692911</v>
      </c>
      <c r="DK297" s="204">
        <f t="shared" si="17"/>
        <v>5920014</v>
      </c>
      <c r="DL297" s="204">
        <f t="shared" si="17"/>
        <v>6767438</v>
      </c>
    </row>
    <row r="298" spans="90:116" ht="20.149999999999999" customHeight="1" x14ac:dyDescent="0.35"/>
    <row r="299" spans="90:116" ht="20.149999999999999" customHeight="1" x14ac:dyDescent="0.35"/>
    <row r="300" spans="90:116" ht="20.149999999999999" customHeight="1" x14ac:dyDescent="0.35"/>
    <row r="301" spans="90:116" ht="20.149999999999999" customHeight="1" x14ac:dyDescent="0.35"/>
    <row r="302" spans="90:116" ht="20.149999999999999" customHeight="1" x14ac:dyDescent="0.35"/>
    <row r="303" spans="90:116" ht="60" customHeight="1" x14ac:dyDescent="0.35">
      <c r="CL303" s="200" t="s">
        <v>694</v>
      </c>
      <c r="CM303" s="167" t="str">
        <f t="shared" ref="CM303:DK303" si="18">CM266</f>
        <v>2T | 2026</v>
      </c>
      <c r="CN303" s="167" t="str">
        <f t="shared" si="18"/>
        <v>1T | 2026</v>
      </c>
      <c r="CO303" s="167" t="str">
        <f t="shared" si="18"/>
        <v>4T | 2025</v>
      </c>
      <c r="CP303" s="167" t="str">
        <f t="shared" si="18"/>
        <v>3T | 2025</v>
      </c>
      <c r="CQ303" s="167" t="str">
        <f t="shared" si="18"/>
        <v>2T | 2025</v>
      </c>
      <c r="CR303" s="167" t="str">
        <f t="shared" si="18"/>
        <v>1T | 2025</v>
      </c>
      <c r="CS303" s="167" t="str">
        <f t="shared" si="18"/>
        <v>4T | 2024</v>
      </c>
      <c r="CT303" s="167" t="str">
        <f t="shared" si="18"/>
        <v>3T | 2024</v>
      </c>
      <c r="CU303" s="167" t="str">
        <f t="shared" si="18"/>
        <v>2T | 2024</v>
      </c>
      <c r="CV303" s="167" t="str">
        <f t="shared" si="18"/>
        <v>1T | 2024</v>
      </c>
      <c r="CW303" s="167" t="str">
        <f t="shared" si="18"/>
        <v>4T | 2023</v>
      </c>
      <c r="CX303" s="167" t="str">
        <f t="shared" si="18"/>
        <v>3T | 2023</v>
      </c>
      <c r="CY303" s="167" t="str">
        <f t="shared" si="18"/>
        <v>2T | 2023</v>
      </c>
      <c r="CZ303" s="167" t="str">
        <f t="shared" si="18"/>
        <v>1T | 2023</v>
      </c>
      <c r="DA303" s="167" t="str">
        <f t="shared" si="18"/>
        <v>4T | 2022</v>
      </c>
      <c r="DB303" s="167" t="str">
        <f t="shared" si="18"/>
        <v>3T | 2022</v>
      </c>
      <c r="DC303" s="167" t="str">
        <f t="shared" si="18"/>
        <v>2T | 2022</v>
      </c>
      <c r="DD303" s="167" t="str">
        <f t="shared" si="18"/>
        <v>1T | 2022</v>
      </c>
      <c r="DE303" s="167" t="str">
        <f t="shared" si="18"/>
        <v>4T | 2021</v>
      </c>
      <c r="DF303" s="167" t="str">
        <f t="shared" si="18"/>
        <v>3T | 2021</v>
      </c>
      <c r="DG303" s="167" t="str">
        <f t="shared" si="18"/>
        <v>2T | 2021</v>
      </c>
      <c r="DH303" s="167" t="str">
        <f t="shared" si="18"/>
        <v>1T | 2021</v>
      </c>
      <c r="DI303" s="167" t="str">
        <f t="shared" si="18"/>
        <v>4T | 2020</v>
      </c>
      <c r="DJ303" s="167" t="str">
        <f t="shared" si="18"/>
        <v>3T | 2020</v>
      </c>
      <c r="DK303" s="167" t="str">
        <f t="shared" si="18"/>
        <v>2T | 2020</v>
      </c>
      <c r="DL303" s="167" t="str">
        <f>DL266</f>
        <v>1T | 2020</v>
      </c>
    </row>
    <row r="304" spans="90:116" ht="25" customHeight="1" x14ac:dyDescent="0.35">
      <c r="CL304" s="17" t="s">
        <v>695</v>
      </c>
      <c r="CM304" s="354">
        <v>3256833.85899552</v>
      </c>
      <c r="CN304" s="354">
        <v>3410560</v>
      </c>
      <c r="CO304" s="354">
        <v>3291586.6650739708</v>
      </c>
      <c r="CP304" s="78">
        <v>3134386.2420830303</v>
      </c>
      <c r="CQ304" s="78">
        <v>3170398.8541999999</v>
      </c>
      <c r="CR304" s="78">
        <v>3322630</v>
      </c>
      <c r="CS304" s="78">
        <v>3269139</v>
      </c>
      <c r="CT304" s="78">
        <v>3051336</v>
      </c>
      <c r="CU304" s="78">
        <v>3150675</v>
      </c>
      <c r="CV304" s="78">
        <v>3250170</v>
      </c>
      <c r="CW304" s="78">
        <v>3289232</v>
      </c>
      <c r="CX304" s="78">
        <v>2874159</v>
      </c>
      <c r="CY304" s="78">
        <v>2944206</v>
      </c>
      <c r="CZ304" s="78">
        <v>2984825</v>
      </c>
      <c r="DA304" s="78">
        <v>2900688</v>
      </c>
      <c r="DB304" s="78">
        <v>2706219</v>
      </c>
      <c r="DC304" s="78">
        <v>2768128</v>
      </c>
      <c r="DD304" s="78">
        <v>2841768</v>
      </c>
      <c r="DE304" s="78">
        <v>2786752</v>
      </c>
      <c r="DF304" s="78">
        <v>2757428</v>
      </c>
      <c r="DG304" s="78">
        <v>2766585</v>
      </c>
      <c r="DH304" s="78">
        <v>2875007</v>
      </c>
      <c r="DI304" s="78">
        <v>2885595</v>
      </c>
      <c r="DJ304" s="78">
        <v>2652121</v>
      </c>
      <c r="DK304" s="78">
        <v>2657910</v>
      </c>
      <c r="DL304" s="78">
        <v>2785000</v>
      </c>
    </row>
    <row r="305" spans="90:116" ht="25" customHeight="1" x14ac:dyDescent="0.35">
      <c r="CL305" s="159" t="s">
        <v>696</v>
      </c>
      <c r="CM305" s="261">
        <f>IFERROR(SUM(CM306:CM307),0)</f>
        <v>5315913.1546569997</v>
      </c>
      <c r="CN305" s="261">
        <f>IFERROR(SUM(CN306:CN307),0)</f>
        <v>5281913</v>
      </c>
      <c r="CO305" s="261">
        <f t="shared" ref="CO305:DL305" si="19">IFERROR(SUM(CO306:CO307),0)</f>
        <v>5331927.210028002</v>
      </c>
      <c r="CP305" s="261">
        <f t="shared" si="19"/>
        <v>5491183.2561229998</v>
      </c>
      <c r="CQ305" s="261">
        <f t="shared" si="19"/>
        <v>5483215.3006199999</v>
      </c>
      <c r="CR305" s="261">
        <f t="shared" si="19"/>
        <v>5633542</v>
      </c>
      <c r="CS305" s="261">
        <f t="shared" si="19"/>
        <v>5777187.4449999994</v>
      </c>
      <c r="CT305" s="261">
        <f t="shared" si="19"/>
        <v>5967157</v>
      </c>
      <c r="CU305" s="261">
        <f t="shared" si="19"/>
        <v>5771074</v>
      </c>
      <c r="CV305" s="261">
        <f t="shared" si="19"/>
        <v>5574606</v>
      </c>
      <c r="CW305" s="261">
        <f t="shared" si="19"/>
        <v>5571405</v>
      </c>
      <c r="CX305" s="261">
        <f t="shared" si="19"/>
        <v>5652811</v>
      </c>
      <c r="CY305" s="261">
        <f t="shared" si="19"/>
        <v>5613226</v>
      </c>
      <c r="CZ305" s="261">
        <f t="shared" si="19"/>
        <v>5457071</v>
      </c>
      <c r="DA305" s="261">
        <f t="shared" si="19"/>
        <v>5593070</v>
      </c>
      <c r="DB305" s="261">
        <f t="shared" si="19"/>
        <v>5666290</v>
      </c>
      <c r="DC305" s="261">
        <f t="shared" si="19"/>
        <v>5635347</v>
      </c>
      <c r="DD305" s="261">
        <f t="shared" si="19"/>
        <v>5304265</v>
      </c>
      <c r="DE305" s="261">
        <f t="shared" si="19"/>
        <v>5579719</v>
      </c>
      <c r="DF305" s="261">
        <f t="shared" si="19"/>
        <v>5604552</v>
      </c>
      <c r="DG305" s="261">
        <f t="shared" si="19"/>
        <v>5543753</v>
      </c>
      <c r="DH305" s="261">
        <f t="shared" si="19"/>
        <v>5413165</v>
      </c>
      <c r="DI305" s="261">
        <f t="shared" si="19"/>
        <v>5413884</v>
      </c>
      <c r="DJ305" s="261">
        <f t="shared" si="19"/>
        <v>5341739</v>
      </c>
      <c r="DK305" s="261">
        <f t="shared" si="19"/>
        <v>4637028</v>
      </c>
      <c r="DL305" s="261">
        <f t="shared" si="19"/>
        <v>4992579</v>
      </c>
    </row>
    <row r="306" spans="90:116" ht="20.149999999999999" customHeight="1" x14ac:dyDescent="0.35">
      <c r="CL306" s="36" t="s">
        <v>697</v>
      </c>
      <c r="CM306" s="256">
        <v>131038.15465699996</v>
      </c>
      <c r="CN306" s="256">
        <v>123347</v>
      </c>
      <c r="CO306" s="256">
        <v>154034.210028</v>
      </c>
      <c r="CP306" s="202">
        <v>168672.256123</v>
      </c>
      <c r="CQ306" s="202">
        <v>179076.66362000001</v>
      </c>
      <c r="CR306" s="202">
        <v>191693</v>
      </c>
      <c r="CS306" s="202">
        <v>230020</v>
      </c>
      <c r="CT306" s="202">
        <v>270836</v>
      </c>
      <c r="CU306" s="202">
        <v>278451</v>
      </c>
      <c r="CV306" s="202">
        <v>275264</v>
      </c>
      <c r="CW306" s="202">
        <v>302018</v>
      </c>
      <c r="CX306" s="202">
        <v>320470</v>
      </c>
      <c r="CY306" s="202">
        <v>340970</v>
      </c>
      <c r="CZ306" s="202">
        <v>334141</v>
      </c>
      <c r="DA306" s="202">
        <v>369456</v>
      </c>
      <c r="DB306" s="202">
        <v>395043</v>
      </c>
      <c r="DC306" s="202">
        <v>399303</v>
      </c>
      <c r="DD306" s="202">
        <v>368760</v>
      </c>
      <c r="DE306" s="202">
        <v>413950</v>
      </c>
      <c r="DF306" s="202">
        <v>424825</v>
      </c>
      <c r="DG306" s="202">
        <v>425533</v>
      </c>
      <c r="DH306" s="202">
        <v>430303</v>
      </c>
      <c r="DI306" s="202">
        <v>431360</v>
      </c>
      <c r="DJ306" s="202">
        <v>462136</v>
      </c>
      <c r="DK306" s="202">
        <v>406876</v>
      </c>
      <c r="DL306" s="202">
        <v>472440</v>
      </c>
    </row>
    <row r="307" spans="90:116" ht="20.149999999999999" customHeight="1" x14ac:dyDescent="0.35">
      <c r="CL307" s="36" t="s">
        <v>698</v>
      </c>
      <c r="CM307" s="256">
        <v>5184875</v>
      </c>
      <c r="CN307" s="256">
        <v>5158566</v>
      </c>
      <c r="CO307" s="256">
        <v>5177893.0000000019</v>
      </c>
      <c r="CP307" s="202">
        <v>5322511</v>
      </c>
      <c r="CQ307" s="202">
        <v>5304138.6370000001</v>
      </c>
      <c r="CR307" s="202">
        <v>5441849</v>
      </c>
      <c r="CS307" s="202">
        <v>5547167.4449999994</v>
      </c>
      <c r="CT307" s="202">
        <v>5696321</v>
      </c>
      <c r="CU307" s="202">
        <v>5492623</v>
      </c>
      <c r="CV307" s="202">
        <v>5299342</v>
      </c>
      <c r="CW307" s="202">
        <v>5269387</v>
      </c>
      <c r="CX307" s="202">
        <v>5332341</v>
      </c>
      <c r="CY307" s="202">
        <v>5272256</v>
      </c>
      <c r="CZ307" s="202">
        <v>5122930</v>
      </c>
      <c r="DA307" s="202">
        <v>5223614</v>
      </c>
      <c r="DB307" s="202">
        <v>5271247</v>
      </c>
      <c r="DC307" s="202">
        <v>5236044</v>
      </c>
      <c r="DD307" s="202">
        <v>4935505</v>
      </c>
      <c r="DE307" s="202">
        <v>5165769</v>
      </c>
      <c r="DF307" s="202">
        <v>5179727</v>
      </c>
      <c r="DG307" s="202">
        <v>5118220</v>
      </c>
      <c r="DH307" s="202">
        <v>4982862</v>
      </c>
      <c r="DI307" s="202">
        <v>4982524</v>
      </c>
      <c r="DJ307" s="202">
        <v>4879603</v>
      </c>
      <c r="DK307" s="202">
        <v>4230152</v>
      </c>
      <c r="DL307" s="202">
        <v>4520139</v>
      </c>
    </row>
    <row r="308" spans="90:116" ht="25" customHeight="1" x14ac:dyDescent="0.35">
      <c r="CL308" s="4" t="s">
        <v>699</v>
      </c>
      <c r="CM308" s="261">
        <f>IFERROR(SUM(CM309:CM310),0)</f>
        <v>1506841.4091379952</v>
      </c>
      <c r="CN308" s="261">
        <f>IFERROR(SUM(CN309:CN310),0)</f>
        <v>1544105</v>
      </c>
      <c r="CO308" s="261">
        <f t="shared" ref="CO308:DL308" si="20">IFERROR(SUM(CO309:CO310),0)</f>
        <v>1604851.9532479867</v>
      </c>
      <c r="CP308" s="261">
        <f t="shared" si="20"/>
        <v>1463579.4229080142</v>
      </c>
      <c r="CQ308" s="261">
        <f t="shared" si="20"/>
        <v>1521024.3996000001</v>
      </c>
      <c r="CR308" s="261">
        <f t="shared" si="20"/>
        <v>1603880</v>
      </c>
      <c r="CS308" s="261">
        <f t="shared" si="20"/>
        <v>1634658.8100999999</v>
      </c>
      <c r="CT308" s="261">
        <f t="shared" si="20"/>
        <v>1511590</v>
      </c>
      <c r="CU308" s="261">
        <f t="shared" si="20"/>
        <v>1622287</v>
      </c>
      <c r="CV308" s="261">
        <f t="shared" si="20"/>
        <v>1657340</v>
      </c>
      <c r="CW308" s="261">
        <f t="shared" si="20"/>
        <v>1736739</v>
      </c>
      <c r="CX308" s="261">
        <f t="shared" si="20"/>
        <v>1500991</v>
      </c>
      <c r="CY308" s="261">
        <f t="shared" si="20"/>
        <v>1565792</v>
      </c>
      <c r="CZ308" s="261">
        <f t="shared" si="20"/>
        <v>1612350</v>
      </c>
      <c r="DA308" s="261">
        <f t="shared" si="20"/>
        <v>1639951</v>
      </c>
      <c r="DB308" s="261">
        <f t="shared" si="20"/>
        <v>1484352</v>
      </c>
      <c r="DC308" s="261">
        <f t="shared" si="20"/>
        <v>1595950</v>
      </c>
      <c r="DD308" s="261">
        <f t="shared" si="20"/>
        <v>1581950</v>
      </c>
      <c r="DE308" s="261">
        <f t="shared" si="20"/>
        <v>1496114</v>
      </c>
      <c r="DF308" s="261">
        <f t="shared" si="20"/>
        <v>1356686</v>
      </c>
      <c r="DG308" s="261">
        <f t="shared" si="20"/>
        <v>1352871</v>
      </c>
      <c r="DH308" s="261">
        <f t="shared" si="20"/>
        <v>1472663</v>
      </c>
      <c r="DI308" s="261">
        <f t="shared" si="20"/>
        <v>1502898</v>
      </c>
      <c r="DJ308" s="261">
        <f t="shared" si="20"/>
        <v>1259852</v>
      </c>
      <c r="DK308" s="261">
        <f t="shared" si="20"/>
        <v>1243231</v>
      </c>
      <c r="DL308" s="261">
        <f t="shared" si="20"/>
        <v>1677647</v>
      </c>
    </row>
    <row r="309" spans="90:116" ht="20.149999999999999" customHeight="1" x14ac:dyDescent="0.35">
      <c r="CL309" s="36" t="s">
        <v>697</v>
      </c>
      <c r="CM309" s="256">
        <v>776963.40913799522</v>
      </c>
      <c r="CN309" s="256">
        <v>784115</v>
      </c>
      <c r="CO309" s="256">
        <v>842575.95324798673</v>
      </c>
      <c r="CP309" s="202">
        <v>792184.42290801427</v>
      </c>
      <c r="CQ309" s="202">
        <v>855644.82260000007</v>
      </c>
      <c r="CR309" s="202">
        <v>895466</v>
      </c>
      <c r="CS309" s="202">
        <v>967083</v>
      </c>
      <c r="CT309" s="202">
        <v>930862</v>
      </c>
      <c r="CU309" s="202">
        <v>1037239</v>
      </c>
      <c r="CV309" s="202">
        <v>1076142</v>
      </c>
      <c r="CW309" s="202">
        <v>1156259</v>
      </c>
      <c r="CX309" s="202">
        <v>1008973</v>
      </c>
      <c r="CY309" s="202">
        <v>1101140</v>
      </c>
      <c r="CZ309" s="202">
        <v>1113679</v>
      </c>
      <c r="DA309" s="202">
        <v>1158178</v>
      </c>
      <c r="DB309" s="202">
        <v>1061850</v>
      </c>
      <c r="DC309" s="202">
        <v>1173445</v>
      </c>
      <c r="DD309" s="202">
        <v>1148033</v>
      </c>
      <c r="DE309" s="202">
        <v>1065677</v>
      </c>
      <c r="DF309" s="202">
        <v>974873</v>
      </c>
      <c r="DG309" s="202">
        <v>996054</v>
      </c>
      <c r="DH309" s="202">
        <v>1106513</v>
      </c>
      <c r="DI309" s="202">
        <v>1110248</v>
      </c>
      <c r="DJ309" s="202">
        <v>960727</v>
      </c>
      <c r="DK309" s="202">
        <v>989135</v>
      </c>
      <c r="DL309" s="202">
        <v>1323647</v>
      </c>
    </row>
    <row r="310" spans="90:116" ht="20.149999999999999" customHeight="1" x14ac:dyDescent="0.35">
      <c r="CL310" s="36" t="s">
        <v>698</v>
      </c>
      <c r="CM310" s="256">
        <v>729878</v>
      </c>
      <c r="CN310" s="256">
        <v>759990</v>
      </c>
      <c r="CO310" s="256">
        <v>762276</v>
      </c>
      <c r="CP310" s="202">
        <v>671395</v>
      </c>
      <c r="CQ310" s="202">
        <v>665379.57700000005</v>
      </c>
      <c r="CR310" s="202">
        <v>708414</v>
      </c>
      <c r="CS310" s="202">
        <v>667575.8101</v>
      </c>
      <c r="CT310" s="202">
        <v>580728</v>
      </c>
      <c r="CU310" s="202">
        <v>585048</v>
      </c>
      <c r="CV310" s="202">
        <v>581198</v>
      </c>
      <c r="CW310" s="202">
        <v>580480</v>
      </c>
      <c r="CX310" s="202">
        <v>492018</v>
      </c>
      <c r="CY310" s="202">
        <v>464652</v>
      </c>
      <c r="CZ310" s="202">
        <v>498671</v>
      </c>
      <c r="DA310" s="202">
        <v>481773</v>
      </c>
      <c r="DB310" s="202">
        <v>422502</v>
      </c>
      <c r="DC310" s="202">
        <v>422505</v>
      </c>
      <c r="DD310" s="202">
        <v>433917</v>
      </c>
      <c r="DE310" s="202">
        <v>430437</v>
      </c>
      <c r="DF310" s="202">
        <v>381813</v>
      </c>
      <c r="DG310" s="202">
        <v>356817</v>
      </c>
      <c r="DH310" s="202">
        <v>366150</v>
      </c>
      <c r="DI310" s="202">
        <v>392650</v>
      </c>
      <c r="DJ310" s="202">
        <v>299125</v>
      </c>
      <c r="DK310" s="202">
        <v>254096</v>
      </c>
      <c r="DL310" s="202">
        <v>354000</v>
      </c>
    </row>
    <row r="311" spans="90:116" ht="25" customHeight="1" x14ac:dyDescent="0.35">
      <c r="CL311" s="4" t="s">
        <v>700</v>
      </c>
      <c r="CM311" s="261">
        <f>IFERROR(SUM(CM312:CM313),0)</f>
        <v>692531.16443599982</v>
      </c>
      <c r="CN311" s="261">
        <f>IFERROR(SUM(CN312:CN313),0)</f>
        <v>519590</v>
      </c>
      <c r="CO311" s="261">
        <f t="shared" ref="CO311:DL311" si="21">IFERROR(SUM(CO312:CO313),0)</f>
        <v>767079.80736900063</v>
      </c>
      <c r="CP311" s="261">
        <f t="shared" si="21"/>
        <v>864311.80943599937</v>
      </c>
      <c r="CQ311" s="261">
        <f t="shared" si="21"/>
        <v>778749.43328</v>
      </c>
      <c r="CR311" s="261">
        <f t="shared" si="21"/>
        <v>555100</v>
      </c>
      <c r="CS311" s="261">
        <f t="shared" si="21"/>
        <v>705045.41202699998</v>
      </c>
      <c r="CT311" s="261">
        <f t="shared" si="21"/>
        <v>935395</v>
      </c>
      <c r="CU311" s="261">
        <f t="shared" si="21"/>
        <v>767562</v>
      </c>
      <c r="CV311" s="261">
        <f t="shared" si="21"/>
        <v>614792</v>
      </c>
      <c r="CW311" s="261">
        <f t="shared" si="21"/>
        <v>836885</v>
      </c>
      <c r="CX311" s="261">
        <f t="shared" si="21"/>
        <v>879384</v>
      </c>
      <c r="CY311" s="261">
        <f t="shared" si="21"/>
        <v>805322</v>
      </c>
      <c r="CZ311" s="261">
        <f t="shared" si="21"/>
        <v>528060</v>
      </c>
      <c r="DA311" s="261">
        <f t="shared" si="21"/>
        <v>765530</v>
      </c>
      <c r="DB311" s="261">
        <f t="shared" si="21"/>
        <v>933150</v>
      </c>
      <c r="DC311" s="261">
        <f t="shared" si="21"/>
        <v>850539</v>
      </c>
      <c r="DD311" s="261">
        <f t="shared" si="21"/>
        <v>552822</v>
      </c>
      <c r="DE311" s="261">
        <f t="shared" si="21"/>
        <v>893790</v>
      </c>
      <c r="DF311" s="261">
        <f t="shared" si="21"/>
        <v>1175046</v>
      </c>
      <c r="DG311" s="261">
        <f t="shared" si="21"/>
        <v>1072543</v>
      </c>
      <c r="DH311" s="261">
        <f t="shared" si="21"/>
        <v>847194</v>
      </c>
      <c r="DI311" s="261">
        <f t="shared" si="21"/>
        <v>960696</v>
      </c>
      <c r="DJ311" s="261">
        <f t="shared" si="21"/>
        <v>1142610</v>
      </c>
      <c r="DK311" s="261">
        <f t="shared" si="21"/>
        <v>899106</v>
      </c>
      <c r="DL311" s="261">
        <f t="shared" si="21"/>
        <v>778795</v>
      </c>
    </row>
    <row r="312" spans="90:116" ht="20.149999999999999" customHeight="1" x14ac:dyDescent="0.35">
      <c r="CL312" s="36" t="s">
        <v>697</v>
      </c>
      <c r="CM312" s="256">
        <v>653346.16443599982</v>
      </c>
      <c r="CN312" s="256">
        <v>481742</v>
      </c>
      <c r="CO312" s="256">
        <v>726881.80736900063</v>
      </c>
      <c r="CP312" s="202">
        <v>818696.80943599937</v>
      </c>
      <c r="CQ312" s="202">
        <v>745410.27228000003</v>
      </c>
      <c r="CR312" s="202">
        <v>524314</v>
      </c>
      <c r="CS312" s="202">
        <v>678416</v>
      </c>
      <c r="CT312" s="202">
        <v>914360</v>
      </c>
      <c r="CU312" s="202">
        <v>752773</v>
      </c>
      <c r="CV312" s="202">
        <v>600086</v>
      </c>
      <c r="CW312" s="202">
        <v>822905</v>
      </c>
      <c r="CX312" s="202">
        <v>867641</v>
      </c>
      <c r="CY312" s="202">
        <v>796071</v>
      </c>
      <c r="CZ312" s="202">
        <v>517361</v>
      </c>
      <c r="DA312" s="202">
        <v>755463</v>
      </c>
      <c r="DB312" s="202">
        <v>924189</v>
      </c>
      <c r="DC312" s="202">
        <v>841411</v>
      </c>
      <c r="DD312" s="202">
        <v>540836</v>
      </c>
      <c r="DE312" s="202">
        <v>881460</v>
      </c>
      <c r="DF312" s="202">
        <v>1163562</v>
      </c>
      <c r="DG312" s="202">
        <v>1061983</v>
      </c>
      <c r="DH312" s="202">
        <v>837407</v>
      </c>
      <c r="DI312" s="202">
        <v>950802</v>
      </c>
      <c r="DJ312" s="202">
        <v>1134943</v>
      </c>
      <c r="DK312" s="202">
        <v>892061</v>
      </c>
      <c r="DL312" s="202">
        <v>771566</v>
      </c>
    </row>
    <row r="313" spans="90:116" ht="20.149999999999999" customHeight="1" x14ac:dyDescent="0.35">
      <c r="CL313" s="36" t="s">
        <v>698</v>
      </c>
      <c r="CM313" s="256">
        <v>39185</v>
      </c>
      <c r="CN313" s="256">
        <v>37848</v>
      </c>
      <c r="CO313" s="256">
        <v>40198</v>
      </c>
      <c r="CP313" s="202">
        <v>45615</v>
      </c>
      <c r="CQ313" s="202">
        <v>33339.161</v>
      </c>
      <c r="CR313" s="202">
        <v>30786</v>
      </c>
      <c r="CS313" s="202">
        <v>26629.412026999998</v>
      </c>
      <c r="CT313" s="202">
        <v>21035</v>
      </c>
      <c r="CU313" s="202">
        <v>14789</v>
      </c>
      <c r="CV313" s="202">
        <v>14706</v>
      </c>
      <c r="CW313" s="202">
        <v>13980</v>
      </c>
      <c r="CX313" s="202">
        <v>11743</v>
      </c>
      <c r="CY313" s="202">
        <v>9251</v>
      </c>
      <c r="CZ313" s="202">
        <v>10699</v>
      </c>
      <c r="DA313" s="202">
        <v>10067</v>
      </c>
      <c r="DB313" s="202">
        <v>8961</v>
      </c>
      <c r="DC313" s="202">
        <v>9128</v>
      </c>
      <c r="DD313" s="202">
        <v>11986</v>
      </c>
      <c r="DE313" s="202">
        <v>12330</v>
      </c>
      <c r="DF313" s="202">
        <v>11484</v>
      </c>
      <c r="DG313" s="202">
        <v>10560</v>
      </c>
      <c r="DH313" s="202">
        <v>9787</v>
      </c>
      <c r="DI313" s="202">
        <v>9894</v>
      </c>
      <c r="DJ313" s="202">
        <v>7667</v>
      </c>
      <c r="DK313" s="202">
        <v>7045</v>
      </c>
      <c r="DL313" s="202">
        <v>7229</v>
      </c>
    </row>
    <row r="314" spans="90:116" ht="25" customHeight="1" x14ac:dyDescent="0.35">
      <c r="CL314" s="4" t="s">
        <v>701</v>
      </c>
      <c r="CM314" s="261">
        <f>IFERROR(SUM(CM315:CM316),0)</f>
        <v>781395.60730100074</v>
      </c>
      <c r="CN314" s="261">
        <f>IFERROR(SUM(CN315:CN316),0)</f>
        <v>773784</v>
      </c>
      <c r="CO314" s="261">
        <f t="shared" ref="CO314:DL314" si="22">IFERROR(SUM(CO315:CO316),0)</f>
        <v>796413.62676599994</v>
      </c>
      <c r="CP314" s="261">
        <f t="shared" si="22"/>
        <v>786762.72562699998</v>
      </c>
      <c r="CQ314" s="261">
        <f t="shared" si="22"/>
        <v>792114.49924499996</v>
      </c>
      <c r="CR314" s="261">
        <f t="shared" si="22"/>
        <v>800687</v>
      </c>
      <c r="CS314" s="261">
        <f t="shared" si="22"/>
        <v>835510.60365499998</v>
      </c>
      <c r="CT314" s="261">
        <f t="shared" si="22"/>
        <v>814299</v>
      </c>
      <c r="CU314" s="261">
        <f t="shared" si="22"/>
        <v>831774</v>
      </c>
      <c r="CV314" s="261">
        <f t="shared" si="22"/>
        <v>845626</v>
      </c>
      <c r="CW314" s="261">
        <f t="shared" si="22"/>
        <v>915843</v>
      </c>
      <c r="CX314" s="261">
        <f t="shared" si="22"/>
        <v>844521</v>
      </c>
      <c r="CY314" s="261">
        <f t="shared" si="22"/>
        <v>866177</v>
      </c>
      <c r="CZ314" s="261">
        <f t="shared" si="22"/>
        <v>870898</v>
      </c>
      <c r="DA314" s="261">
        <f t="shared" si="22"/>
        <v>869272</v>
      </c>
      <c r="DB314" s="261">
        <f t="shared" si="22"/>
        <v>848819</v>
      </c>
      <c r="DC314" s="261">
        <f t="shared" si="22"/>
        <v>861636</v>
      </c>
      <c r="DD314" s="261">
        <f t="shared" si="22"/>
        <v>830032</v>
      </c>
      <c r="DE314" s="261">
        <f t="shared" si="22"/>
        <v>858174</v>
      </c>
      <c r="DF314" s="261">
        <f t="shared" si="22"/>
        <v>789012</v>
      </c>
      <c r="DG314" s="261">
        <f t="shared" si="22"/>
        <v>839976</v>
      </c>
      <c r="DH314" s="261">
        <f t="shared" si="22"/>
        <v>889839</v>
      </c>
      <c r="DI314" s="261">
        <f t="shared" si="22"/>
        <v>769689</v>
      </c>
      <c r="DJ314" s="261">
        <f t="shared" si="22"/>
        <v>823662</v>
      </c>
      <c r="DK314" s="261">
        <f t="shared" si="22"/>
        <v>833821</v>
      </c>
      <c r="DL314" s="261">
        <f t="shared" si="22"/>
        <v>891974</v>
      </c>
    </row>
    <row r="315" spans="90:116" ht="20.149999999999999" customHeight="1" x14ac:dyDescent="0.35">
      <c r="CL315" s="36" t="s">
        <v>697</v>
      </c>
      <c r="CM315" s="256">
        <v>502686.60730100074</v>
      </c>
      <c r="CN315" s="256">
        <v>516867</v>
      </c>
      <c r="CO315" s="256">
        <v>539948.62676599994</v>
      </c>
      <c r="CP315" s="202">
        <v>546177.72562699998</v>
      </c>
      <c r="CQ315" s="202">
        <v>585326.52924499998</v>
      </c>
      <c r="CR315" s="202">
        <v>605273</v>
      </c>
      <c r="CS315" s="202">
        <v>659449</v>
      </c>
      <c r="CT315" s="202">
        <v>646371</v>
      </c>
      <c r="CU315" s="202">
        <v>697111</v>
      </c>
      <c r="CV315" s="202">
        <v>719985</v>
      </c>
      <c r="CW315" s="202">
        <v>797873</v>
      </c>
      <c r="CX315" s="202">
        <v>733652</v>
      </c>
      <c r="CY315" s="202">
        <v>759544</v>
      </c>
      <c r="CZ315" s="202">
        <v>765523</v>
      </c>
      <c r="DA315" s="202">
        <v>855638</v>
      </c>
      <c r="DB315" s="202">
        <v>848199</v>
      </c>
      <c r="DC315" s="202">
        <v>860970</v>
      </c>
      <c r="DD315" s="202">
        <v>829160</v>
      </c>
      <c r="DE315" s="202">
        <v>857155</v>
      </c>
      <c r="DF315" s="202">
        <v>787932</v>
      </c>
      <c r="DG315" s="202">
        <v>839076</v>
      </c>
      <c r="DH315" s="202">
        <v>889188</v>
      </c>
      <c r="DI315" s="202">
        <v>769689</v>
      </c>
      <c r="DJ315" s="202">
        <v>823662</v>
      </c>
      <c r="DK315" s="202">
        <v>833821</v>
      </c>
      <c r="DL315" s="202">
        <v>891974</v>
      </c>
    </row>
    <row r="316" spans="90:116" ht="20.149999999999999" customHeight="1" x14ac:dyDescent="0.35">
      <c r="CL316" s="36" t="s">
        <v>698</v>
      </c>
      <c r="CM316" s="256">
        <v>278709</v>
      </c>
      <c r="CN316" s="256">
        <v>256917</v>
      </c>
      <c r="CO316" s="256">
        <v>256465</v>
      </c>
      <c r="CP316" s="202">
        <v>240585</v>
      </c>
      <c r="CQ316" s="202">
        <v>206787.97</v>
      </c>
      <c r="CR316" s="202">
        <v>195414</v>
      </c>
      <c r="CS316" s="202">
        <v>176061.60365500001</v>
      </c>
      <c r="CT316" s="202">
        <v>167928</v>
      </c>
      <c r="CU316" s="202">
        <v>134663</v>
      </c>
      <c r="CV316" s="202">
        <v>125641</v>
      </c>
      <c r="CW316" s="202">
        <v>117970</v>
      </c>
      <c r="CX316" s="202">
        <v>110869</v>
      </c>
      <c r="CY316" s="202">
        <v>106633</v>
      </c>
      <c r="CZ316" s="202">
        <v>105375</v>
      </c>
      <c r="DA316" s="202">
        <v>13634</v>
      </c>
      <c r="DB316" s="202">
        <v>620</v>
      </c>
      <c r="DC316" s="202">
        <v>666</v>
      </c>
      <c r="DD316" s="202">
        <v>872</v>
      </c>
      <c r="DE316" s="202">
        <v>1019</v>
      </c>
      <c r="DF316" s="202">
        <v>1080</v>
      </c>
      <c r="DG316" s="202">
        <v>900</v>
      </c>
      <c r="DH316" s="202">
        <v>651</v>
      </c>
      <c r="DI316" s="202">
        <v>0</v>
      </c>
      <c r="DJ316" s="202">
        <v>0</v>
      </c>
      <c r="DK316" s="202">
        <v>0</v>
      </c>
      <c r="DL316" s="202">
        <v>0</v>
      </c>
    </row>
    <row r="317" spans="90:116" ht="25" customHeight="1" x14ac:dyDescent="0.35">
      <c r="CL317" s="4" t="s">
        <v>702</v>
      </c>
      <c r="CM317" s="261">
        <f>CM318</f>
        <v>78113</v>
      </c>
      <c r="CN317" s="261">
        <f>CN318</f>
        <v>71147</v>
      </c>
      <c r="CO317" s="261">
        <f t="shared" ref="CO317:DL317" si="23">CO318</f>
        <v>82383.000000000029</v>
      </c>
      <c r="CP317" s="261">
        <f t="shared" si="23"/>
        <v>87630</v>
      </c>
      <c r="CQ317" s="261">
        <f t="shared" si="23"/>
        <v>73395.387220000004</v>
      </c>
      <c r="CR317" s="261">
        <f t="shared" si="23"/>
        <v>71871</v>
      </c>
      <c r="CS317" s="261">
        <f t="shared" si="23"/>
        <v>87742.201000000001</v>
      </c>
      <c r="CT317" s="261">
        <f t="shared" si="23"/>
        <v>91045</v>
      </c>
      <c r="CU317" s="261">
        <f t="shared" si="23"/>
        <v>74376</v>
      </c>
      <c r="CV317" s="261">
        <f t="shared" si="23"/>
        <v>76189</v>
      </c>
      <c r="CW317" s="261">
        <f t="shared" si="23"/>
        <v>86502</v>
      </c>
      <c r="CX317" s="261">
        <f t="shared" si="23"/>
        <v>88198</v>
      </c>
      <c r="CY317" s="261">
        <f t="shared" si="23"/>
        <v>78183</v>
      </c>
      <c r="CZ317" s="261">
        <f t="shared" si="23"/>
        <v>64686</v>
      </c>
      <c r="DA317" s="261">
        <f t="shared" si="23"/>
        <v>74488</v>
      </c>
      <c r="DB317" s="261">
        <f t="shared" si="23"/>
        <v>89145</v>
      </c>
      <c r="DC317" s="261">
        <f t="shared" si="23"/>
        <v>73729</v>
      </c>
      <c r="DD317" s="261">
        <f t="shared" si="23"/>
        <v>63562</v>
      </c>
      <c r="DE317" s="261">
        <f t="shared" si="23"/>
        <v>67199</v>
      </c>
      <c r="DF317" s="261">
        <f t="shared" si="23"/>
        <v>118642</v>
      </c>
      <c r="DG317" s="261">
        <f t="shared" si="23"/>
        <v>52220</v>
      </c>
      <c r="DH317" s="261">
        <f t="shared" si="23"/>
        <v>72117</v>
      </c>
      <c r="DI317" s="261">
        <f t="shared" si="23"/>
        <v>79032</v>
      </c>
      <c r="DJ317" s="261">
        <f t="shared" si="23"/>
        <v>91645</v>
      </c>
      <c r="DK317" s="261">
        <f t="shared" si="23"/>
        <v>72652</v>
      </c>
      <c r="DL317" s="261">
        <f t="shared" si="23"/>
        <v>71813</v>
      </c>
    </row>
    <row r="318" spans="90:116" ht="20.149999999999999" customHeight="1" x14ac:dyDescent="0.35">
      <c r="CL318" s="36" t="s">
        <v>698</v>
      </c>
      <c r="CM318" s="256">
        <v>78113</v>
      </c>
      <c r="CN318" s="256">
        <v>71147</v>
      </c>
      <c r="CO318" s="256">
        <v>82383.000000000029</v>
      </c>
      <c r="CP318" s="202">
        <v>87630</v>
      </c>
      <c r="CQ318" s="202">
        <v>73395.387220000004</v>
      </c>
      <c r="CR318" s="202">
        <v>71871</v>
      </c>
      <c r="CS318" s="202">
        <v>87742.201000000001</v>
      </c>
      <c r="CT318" s="202">
        <v>91045</v>
      </c>
      <c r="CU318" s="202">
        <v>74376</v>
      </c>
      <c r="CV318" s="202">
        <v>76189</v>
      </c>
      <c r="CW318" s="202">
        <v>86502</v>
      </c>
      <c r="CX318" s="202">
        <v>88198</v>
      </c>
      <c r="CY318" s="202">
        <v>78183</v>
      </c>
      <c r="CZ318" s="202">
        <v>64686</v>
      </c>
      <c r="DA318" s="202">
        <v>74488</v>
      </c>
      <c r="DB318" s="202">
        <v>89145</v>
      </c>
      <c r="DC318" s="202">
        <v>73729</v>
      </c>
      <c r="DD318" s="202">
        <v>63562</v>
      </c>
      <c r="DE318" s="202">
        <v>67199</v>
      </c>
      <c r="DF318" s="202">
        <v>118642</v>
      </c>
      <c r="DG318" s="202">
        <v>52220</v>
      </c>
      <c r="DH318" s="202">
        <v>72117</v>
      </c>
      <c r="DI318" s="202">
        <v>79032</v>
      </c>
      <c r="DJ318" s="202">
        <v>91645</v>
      </c>
      <c r="DK318" s="202">
        <v>72652</v>
      </c>
      <c r="DL318" s="202">
        <v>71813</v>
      </c>
    </row>
    <row r="319" spans="90:116" ht="25" customHeight="1" x14ac:dyDescent="0.35">
      <c r="CL319" s="4" t="s">
        <v>703</v>
      </c>
      <c r="CM319" s="353">
        <v>7696.4593340000001</v>
      </c>
      <c r="CN319" s="353">
        <v>7862</v>
      </c>
      <c r="CO319" s="353">
        <v>7396</v>
      </c>
      <c r="CP319" s="209">
        <v>6437</v>
      </c>
      <c r="CQ319" s="209">
        <v>6992</v>
      </c>
      <c r="CR319" s="209">
        <v>7925</v>
      </c>
      <c r="CS319" s="209">
        <v>7678</v>
      </c>
      <c r="CT319" s="209">
        <v>6763</v>
      </c>
      <c r="CU319" s="209">
        <v>7710</v>
      </c>
      <c r="CV319" s="209">
        <v>8188</v>
      </c>
      <c r="CW319" s="209">
        <v>8005</v>
      </c>
      <c r="CX319" s="209">
        <v>6783</v>
      </c>
      <c r="CY319" s="209">
        <v>7370</v>
      </c>
      <c r="CZ319" s="209">
        <v>7545</v>
      </c>
      <c r="DA319" s="209">
        <v>7470</v>
      </c>
      <c r="DB319" s="209">
        <v>6761</v>
      </c>
      <c r="DC319" s="209">
        <v>6857</v>
      </c>
      <c r="DD319" s="209">
        <v>9854</v>
      </c>
      <c r="DE319" s="209">
        <v>8407</v>
      </c>
      <c r="DF319" s="209">
        <v>7835</v>
      </c>
      <c r="DG319" s="209">
        <v>8272</v>
      </c>
      <c r="DH319" s="209">
        <v>8560</v>
      </c>
      <c r="DI319" s="209">
        <v>9154</v>
      </c>
      <c r="DJ319" s="209">
        <v>7559</v>
      </c>
      <c r="DK319" s="209">
        <v>7970</v>
      </c>
      <c r="DL319" s="209">
        <v>9406</v>
      </c>
    </row>
    <row r="320" spans="90:116" ht="30" customHeight="1" x14ac:dyDescent="0.35">
      <c r="CL320" s="39" t="s">
        <v>704</v>
      </c>
      <c r="CM320" s="355">
        <f>IFERROR(SUM(CM319,CM315,CM312,CM309,CM306,CM304),0)</f>
        <v>5328564.6538615152</v>
      </c>
      <c r="CN320" s="355">
        <f>IFERROR(SUM(CN319,CN315,CN312,CN309,CN306,CN304),0)</f>
        <v>5324493</v>
      </c>
      <c r="CO320" s="355">
        <f t="shared" ref="CO320:DL320" si="24">IFERROR(SUM(CO319,CO315,CO312,CO309,CO306,CO304),0)</f>
        <v>5562423.2624849584</v>
      </c>
      <c r="CP320" s="355">
        <f t="shared" si="24"/>
        <v>5466554.4561770437</v>
      </c>
      <c r="CQ320" s="355">
        <f t="shared" si="24"/>
        <v>5542849.1419449998</v>
      </c>
      <c r="CR320" s="355">
        <f t="shared" si="24"/>
        <v>5547301</v>
      </c>
      <c r="CS320" s="355">
        <f t="shared" si="24"/>
        <v>5811785</v>
      </c>
      <c r="CT320" s="355">
        <f t="shared" si="24"/>
        <v>5820528</v>
      </c>
      <c r="CU320" s="355">
        <f t="shared" si="24"/>
        <v>5923959</v>
      </c>
      <c r="CV320" s="355">
        <f t="shared" si="24"/>
        <v>5929835</v>
      </c>
      <c r="CW320" s="355">
        <f t="shared" si="24"/>
        <v>6376292</v>
      </c>
      <c r="CX320" s="355">
        <f t="shared" si="24"/>
        <v>5811678</v>
      </c>
      <c r="CY320" s="355">
        <f t="shared" si="24"/>
        <v>5949301</v>
      </c>
      <c r="CZ320" s="355">
        <f t="shared" si="24"/>
        <v>5723074</v>
      </c>
      <c r="DA320" s="355">
        <f t="shared" si="24"/>
        <v>6046893</v>
      </c>
      <c r="DB320" s="355">
        <f t="shared" si="24"/>
        <v>5942261</v>
      </c>
      <c r="DC320" s="355">
        <f t="shared" si="24"/>
        <v>6050114</v>
      </c>
      <c r="DD320" s="355">
        <f t="shared" si="24"/>
        <v>5738411</v>
      </c>
      <c r="DE320" s="355">
        <f t="shared" si="24"/>
        <v>6013401</v>
      </c>
      <c r="DF320" s="355">
        <f t="shared" si="24"/>
        <v>6116455</v>
      </c>
      <c r="DG320" s="355">
        <f t="shared" si="24"/>
        <v>6097503</v>
      </c>
      <c r="DH320" s="355">
        <f t="shared" si="24"/>
        <v>6146978</v>
      </c>
      <c r="DI320" s="355">
        <f t="shared" si="24"/>
        <v>6156848</v>
      </c>
      <c r="DJ320" s="355">
        <f t="shared" si="24"/>
        <v>6041148</v>
      </c>
      <c r="DK320" s="355">
        <f t="shared" si="24"/>
        <v>5787773</v>
      </c>
      <c r="DL320" s="355">
        <f t="shared" si="24"/>
        <v>6254033</v>
      </c>
    </row>
    <row r="321" spans="90:116" ht="30" customHeight="1" x14ac:dyDescent="0.35">
      <c r="CL321" s="39" t="s">
        <v>705</v>
      </c>
      <c r="CM321" s="355">
        <f>IFERROR(SUM(CM317,CM316,CM313,CM310,CM307),0)</f>
        <v>6310760</v>
      </c>
      <c r="CN321" s="355">
        <f>IFERROR(SUM(CN317,CN316,CN313,CN310,CN307),0)</f>
        <v>6284468</v>
      </c>
      <c r="CO321" s="355">
        <f t="shared" ref="CO321:DL321" si="25">IFERROR(SUM(CO317,CO316,CO313,CO310,CO307),0)</f>
        <v>6319215.0000000019</v>
      </c>
      <c r="CP321" s="355">
        <f t="shared" si="25"/>
        <v>6367736</v>
      </c>
      <c r="CQ321" s="355">
        <f t="shared" si="25"/>
        <v>6283040.7322199997</v>
      </c>
      <c r="CR321" s="355">
        <f t="shared" si="25"/>
        <v>6448334</v>
      </c>
      <c r="CS321" s="355">
        <f t="shared" si="25"/>
        <v>6505176.4717819989</v>
      </c>
      <c r="CT321" s="355">
        <f t="shared" si="25"/>
        <v>6557057</v>
      </c>
      <c r="CU321" s="355">
        <f t="shared" si="25"/>
        <v>6301499</v>
      </c>
      <c r="CV321" s="355">
        <f t="shared" si="25"/>
        <v>6097076</v>
      </c>
      <c r="CW321" s="355">
        <f t="shared" si="25"/>
        <v>6068319</v>
      </c>
      <c r="CX321" s="355">
        <f t="shared" si="25"/>
        <v>6035169</v>
      </c>
      <c r="CY321" s="355">
        <f t="shared" si="25"/>
        <v>5930975</v>
      </c>
      <c r="CZ321" s="355">
        <f t="shared" si="25"/>
        <v>5802361</v>
      </c>
      <c r="DA321" s="355">
        <f t="shared" si="25"/>
        <v>5803576</v>
      </c>
      <c r="DB321" s="355">
        <f t="shared" si="25"/>
        <v>5792475</v>
      </c>
      <c r="DC321" s="355">
        <f t="shared" si="25"/>
        <v>5742072</v>
      </c>
      <c r="DD321" s="355">
        <f t="shared" si="25"/>
        <v>5445842</v>
      </c>
      <c r="DE321" s="355">
        <f t="shared" si="25"/>
        <v>5676754</v>
      </c>
      <c r="DF321" s="355">
        <f t="shared" si="25"/>
        <v>5692746</v>
      </c>
      <c r="DG321" s="355">
        <f t="shared" si="25"/>
        <v>5538717</v>
      </c>
      <c r="DH321" s="355">
        <f t="shared" si="25"/>
        <v>5431567</v>
      </c>
      <c r="DI321" s="355">
        <f t="shared" si="25"/>
        <v>5464100</v>
      </c>
      <c r="DJ321" s="355">
        <f t="shared" si="25"/>
        <v>5278040</v>
      </c>
      <c r="DK321" s="355">
        <f t="shared" si="25"/>
        <v>4563945</v>
      </c>
      <c r="DL321" s="355">
        <f t="shared" si="25"/>
        <v>4953181</v>
      </c>
    </row>
    <row r="322" spans="90:116" ht="35.15" customHeight="1" x14ac:dyDescent="0.35">
      <c r="CL322" s="365" t="s">
        <v>706</v>
      </c>
      <c r="CM322" s="356">
        <f>IFERROR(SUM(CM320:CM321),0)</f>
        <v>11639324.653861515</v>
      </c>
      <c r="CN322" s="356">
        <f>IFERROR(SUM(CN320:CN321),0)</f>
        <v>11608961</v>
      </c>
      <c r="CO322" s="356">
        <f t="shared" ref="CO322:DL322" si="26">IFERROR(SUM(CO320:CO321),0)</f>
        <v>11881638.26248496</v>
      </c>
      <c r="CP322" s="356">
        <f t="shared" si="26"/>
        <v>11834290.456177045</v>
      </c>
      <c r="CQ322" s="356">
        <f t="shared" si="26"/>
        <v>11825889.874164999</v>
      </c>
      <c r="CR322" s="356">
        <f t="shared" si="26"/>
        <v>11995635</v>
      </c>
      <c r="CS322" s="356">
        <f t="shared" si="26"/>
        <v>12316961.471781999</v>
      </c>
      <c r="CT322" s="356">
        <f t="shared" si="26"/>
        <v>12377585</v>
      </c>
      <c r="CU322" s="356">
        <f t="shared" si="26"/>
        <v>12225458</v>
      </c>
      <c r="CV322" s="356">
        <f t="shared" si="26"/>
        <v>12026911</v>
      </c>
      <c r="CW322" s="356">
        <f t="shared" si="26"/>
        <v>12444611</v>
      </c>
      <c r="CX322" s="356">
        <f t="shared" si="26"/>
        <v>11846847</v>
      </c>
      <c r="CY322" s="356">
        <f t="shared" si="26"/>
        <v>11880276</v>
      </c>
      <c r="CZ322" s="356">
        <f t="shared" si="26"/>
        <v>11525435</v>
      </c>
      <c r="DA322" s="356">
        <f t="shared" si="26"/>
        <v>11850469</v>
      </c>
      <c r="DB322" s="356">
        <f t="shared" si="26"/>
        <v>11734736</v>
      </c>
      <c r="DC322" s="356">
        <f t="shared" si="26"/>
        <v>11792186</v>
      </c>
      <c r="DD322" s="356">
        <f t="shared" si="26"/>
        <v>11184253</v>
      </c>
      <c r="DE322" s="356">
        <f t="shared" si="26"/>
        <v>11690155</v>
      </c>
      <c r="DF322" s="356">
        <f t="shared" si="26"/>
        <v>11809201</v>
      </c>
      <c r="DG322" s="356">
        <f t="shared" si="26"/>
        <v>11636220</v>
      </c>
      <c r="DH322" s="356">
        <f t="shared" si="26"/>
        <v>11578545</v>
      </c>
      <c r="DI322" s="356">
        <f t="shared" si="26"/>
        <v>11620948</v>
      </c>
      <c r="DJ322" s="356">
        <f t="shared" si="26"/>
        <v>11319188</v>
      </c>
      <c r="DK322" s="356">
        <f t="shared" si="26"/>
        <v>10351718</v>
      </c>
      <c r="DL322" s="356">
        <f t="shared" si="26"/>
        <v>11207214</v>
      </c>
    </row>
    <row r="323" spans="90:116" ht="20.149999999999999" customHeight="1" x14ac:dyDescent="0.35">
      <c r="CL323" s="350" t="s">
        <v>707</v>
      </c>
      <c r="CM323" s="349">
        <v>1552154.2964037887</v>
      </c>
      <c r="CN323" s="349">
        <v>1564498</v>
      </c>
      <c r="CO323" s="349">
        <v>1465027.8914600937</v>
      </c>
      <c r="CP323" s="364">
        <v>1343339</v>
      </c>
      <c r="CQ323" s="364">
        <v>1338562.343981029</v>
      </c>
      <c r="CR323" s="364">
        <v>1356586</v>
      </c>
      <c r="CS323" s="364">
        <v>1343549</v>
      </c>
      <c r="CT323" s="364">
        <v>1178194</v>
      </c>
      <c r="CU323" s="364">
        <v>1161262</v>
      </c>
      <c r="CV323" s="364">
        <v>1181885</v>
      </c>
      <c r="CW323" s="364">
        <v>1155155.7418140017</v>
      </c>
      <c r="CX323" s="364">
        <v>942687.02010593424</v>
      </c>
      <c r="CY323" s="364">
        <v>907223.32892395754</v>
      </c>
      <c r="CZ323" s="364">
        <v>816940.73872497678</v>
      </c>
      <c r="DA323" s="364">
        <v>764288.12899999996</v>
      </c>
      <c r="DB323" s="364">
        <v>671873.99117999605</v>
      </c>
      <c r="DC323" s="364">
        <v>661888.69799999997</v>
      </c>
      <c r="DD323" s="364">
        <v>573269.74121700507</v>
      </c>
      <c r="DE323" s="364">
        <v>514683.19737400574</v>
      </c>
      <c r="DF323" s="364">
        <v>435159.22888999723</v>
      </c>
      <c r="DG323" s="364">
        <v>386132.81416300178</v>
      </c>
      <c r="DH323" s="364">
        <v>357094.15213700116</v>
      </c>
      <c r="DI323" s="364">
        <v>295619.48575900629</v>
      </c>
      <c r="DJ323" s="364">
        <v>228764.18761299935</v>
      </c>
      <c r="DK323" s="364">
        <v>185667.53146900021</v>
      </c>
      <c r="DL323" s="364">
        <v>172472.38677499865</v>
      </c>
    </row>
    <row r="324" spans="90:116" ht="20.149999999999999" customHeight="1" x14ac:dyDescent="0.35">
      <c r="CL324" s="350" t="s">
        <v>708</v>
      </c>
      <c r="CM324" s="349">
        <v>296170</v>
      </c>
      <c r="CN324" s="349">
        <v>280999</v>
      </c>
      <c r="CO324" s="349">
        <v>242567.84605494625</v>
      </c>
      <c r="CP324" s="364">
        <v>199953</v>
      </c>
      <c r="CQ324" s="364">
        <v>166655.60049200026</v>
      </c>
      <c r="CR324" s="364">
        <v>150809</v>
      </c>
      <c r="CS324" s="364">
        <v>123192</v>
      </c>
      <c r="CT324" s="364">
        <v>91619</v>
      </c>
      <c r="CU324" s="364">
        <v>74261</v>
      </c>
      <c r="CV324" s="364">
        <v>60885</v>
      </c>
      <c r="CW324" s="364">
        <v>40975.51536699984</v>
      </c>
      <c r="CX324" s="364">
        <v>17953.357331999832</v>
      </c>
      <c r="CY324" s="364">
        <v>3163.4799329999942</v>
      </c>
      <c r="CZ324" s="364">
        <v>27.083819999999999</v>
      </c>
      <c r="DA324" s="364">
        <v>0</v>
      </c>
      <c r="DB324" s="364">
        <v>0</v>
      </c>
      <c r="DC324" s="364">
        <v>0</v>
      </c>
      <c r="DD324" s="364">
        <v>0</v>
      </c>
      <c r="DE324" s="364">
        <v>0</v>
      </c>
      <c r="DF324" s="364">
        <v>0</v>
      </c>
      <c r="DG324" s="364">
        <v>0</v>
      </c>
      <c r="DH324" s="364">
        <v>0</v>
      </c>
      <c r="DI324" s="364">
        <v>0</v>
      </c>
      <c r="DJ324" s="364">
        <v>0</v>
      </c>
      <c r="DK324" s="364">
        <v>0</v>
      </c>
      <c r="DL324" s="364">
        <v>0</v>
      </c>
    </row>
    <row r="325" spans="90:116" ht="30" customHeight="1" thickBot="1" x14ac:dyDescent="0.4">
      <c r="CL325" s="365" t="s">
        <v>709</v>
      </c>
      <c r="CM325" s="356">
        <f>IFERROR(SUM(CM323:CM324),0)</f>
        <v>1848324.2964037887</v>
      </c>
      <c r="CN325" s="356">
        <f>IFERROR(SUM(CN323:CN324),0)</f>
        <v>1845497</v>
      </c>
      <c r="CO325" s="356">
        <f t="shared" ref="CO325:DL325" si="27">IFERROR(SUM(CO323:CO324),0)</f>
        <v>1707595.73751504</v>
      </c>
      <c r="CP325" s="356">
        <f t="shared" si="27"/>
        <v>1543292</v>
      </c>
      <c r="CQ325" s="356">
        <f t="shared" si="27"/>
        <v>1505217.9444730293</v>
      </c>
      <c r="CR325" s="356">
        <f t="shared" si="27"/>
        <v>1507395</v>
      </c>
      <c r="CS325" s="356">
        <f t="shared" si="27"/>
        <v>1466741</v>
      </c>
      <c r="CT325" s="356">
        <f t="shared" si="27"/>
        <v>1269813</v>
      </c>
      <c r="CU325" s="356">
        <f t="shared" si="27"/>
        <v>1235523</v>
      </c>
      <c r="CV325" s="356">
        <f t="shared" si="27"/>
        <v>1242770</v>
      </c>
      <c r="CW325" s="356">
        <f t="shared" si="27"/>
        <v>1196131.2571810016</v>
      </c>
      <c r="CX325" s="356">
        <f t="shared" si="27"/>
        <v>960640.37743793405</v>
      </c>
      <c r="CY325" s="356">
        <f t="shared" si="27"/>
        <v>910386.80885695748</v>
      </c>
      <c r="CZ325" s="356">
        <f t="shared" si="27"/>
        <v>816967.82254497684</v>
      </c>
      <c r="DA325" s="356">
        <f t="shared" si="27"/>
        <v>764288.12899999996</v>
      </c>
      <c r="DB325" s="356">
        <f t="shared" si="27"/>
        <v>671873.99117999605</v>
      </c>
      <c r="DC325" s="356">
        <f t="shared" si="27"/>
        <v>661888.69799999997</v>
      </c>
      <c r="DD325" s="356">
        <f t="shared" si="27"/>
        <v>573269.74121700507</v>
      </c>
      <c r="DE325" s="356">
        <f t="shared" si="27"/>
        <v>514683.19737400574</v>
      </c>
      <c r="DF325" s="356">
        <f t="shared" si="27"/>
        <v>435159.22888999723</v>
      </c>
      <c r="DG325" s="356">
        <f>IFERROR(SUM(DG323:DG324),0)</f>
        <v>386132.81416300178</v>
      </c>
      <c r="DH325" s="356">
        <f t="shared" si="27"/>
        <v>357094.15213700116</v>
      </c>
      <c r="DI325" s="356">
        <f t="shared" si="27"/>
        <v>295619.48575900629</v>
      </c>
      <c r="DJ325" s="356">
        <f t="shared" si="27"/>
        <v>228764.18761299935</v>
      </c>
      <c r="DK325" s="356">
        <f t="shared" si="27"/>
        <v>185667.53146900021</v>
      </c>
      <c r="DL325" s="356">
        <f t="shared" si="27"/>
        <v>172472.38677499865</v>
      </c>
    </row>
    <row r="326" spans="90:116" ht="35.15" customHeight="1" x14ac:dyDescent="0.35">
      <c r="CL326" s="357" t="s">
        <v>710</v>
      </c>
      <c r="CM326" s="398">
        <f>IFERROR(SUM(CM325,CM322),0)</f>
        <v>13487648.950265303</v>
      </c>
      <c r="CN326" s="398">
        <f>IFERROR(SUM(CN325,CN322),0)</f>
        <v>13454458</v>
      </c>
      <c r="CO326" s="398">
        <f t="shared" ref="CO326:DL326" si="28">IFERROR(SUM(CO325,CO322),0)</f>
        <v>13589234</v>
      </c>
      <c r="CP326" s="398">
        <f t="shared" si="28"/>
        <v>13377582.456177045</v>
      </c>
      <c r="CQ326" s="398">
        <f t="shared" si="28"/>
        <v>13331107.818638029</v>
      </c>
      <c r="CR326" s="398">
        <f t="shared" si="28"/>
        <v>13503030</v>
      </c>
      <c r="CS326" s="398">
        <f t="shared" si="28"/>
        <v>13783702.471781999</v>
      </c>
      <c r="CT326" s="398">
        <f t="shared" si="28"/>
        <v>13647398</v>
      </c>
      <c r="CU326" s="398">
        <f t="shared" si="28"/>
        <v>13460981</v>
      </c>
      <c r="CV326" s="398">
        <f t="shared" si="28"/>
        <v>13269681</v>
      </c>
      <c r="CW326" s="398">
        <f t="shared" si="28"/>
        <v>13640742.257181002</v>
      </c>
      <c r="CX326" s="398">
        <f t="shared" si="28"/>
        <v>12807487.377437934</v>
      </c>
      <c r="CY326" s="398">
        <f t="shared" si="28"/>
        <v>12790662.808856957</v>
      </c>
      <c r="CZ326" s="398">
        <f t="shared" si="28"/>
        <v>12342402.822544977</v>
      </c>
      <c r="DA326" s="398">
        <f t="shared" si="28"/>
        <v>12614757.129000001</v>
      </c>
      <c r="DB326" s="398">
        <f t="shared" si="28"/>
        <v>12406609.991179995</v>
      </c>
      <c r="DC326" s="398">
        <f t="shared" si="28"/>
        <v>12454074.698000001</v>
      </c>
      <c r="DD326" s="398">
        <f t="shared" si="28"/>
        <v>11757522.741217006</v>
      </c>
      <c r="DE326" s="398">
        <f t="shared" si="28"/>
        <v>12204838.197374005</v>
      </c>
      <c r="DF326" s="398">
        <f t="shared" si="28"/>
        <v>12244360.228889998</v>
      </c>
      <c r="DG326" s="398">
        <f>IFERROR(SUM(DG325,DG322),0)</f>
        <v>12022352.814163001</v>
      </c>
      <c r="DH326" s="398">
        <f t="shared" si="28"/>
        <v>11935639.152137002</v>
      </c>
      <c r="DI326" s="398">
        <f t="shared" si="28"/>
        <v>11916567.485759007</v>
      </c>
      <c r="DJ326" s="398">
        <f t="shared" si="28"/>
        <v>11547952.187612999</v>
      </c>
      <c r="DK326" s="398">
        <f t="shared" si="28"/>
        <v>10537385.531469001</v>
      </c>
      <c r="DL326" s="398">
        <f t="shared" si="28"/>
        <v>11379686.386774998</v>
      </c>
    </row>
    <row r="327" spans="90:116" ht="20.149999999999999" customHeight="1" x14ac:dyDescent="0.35"/>
    <row r="328" spans="90:116" ht="20.149999999999999" customHeight="1" x14ac:dyDescent="0.35"/>
    <row r="329" spans="90:116" ht="60" customHeight="1" x14ac:dyDescent="0.35">
      <c r="CL329" s="200" t="s">
        <v>711</v>
      </c>
      <c r="CM329" s="167" t="str">
        <f>CM266</f>
        <v>2T | 2026</v>
      </c>
      <c r="CN329" s="167" t="str">
        <f t="shared" ref="CN329:DL329" si="29">CN266</f>
        <v>1T | 2026</v>
      </c>
      <c r="CO329" s="167" t="str">
        <f t="shared" si="29"/>
        <v>4T | 2025</v>
      </c>
      <c r="CP329" s="167" t="str">
        <f t="shared" si="29"/>
        <v>3T | 2025</v>
      </c>
      <c r="CQ329" s="167" t="str">
        <f t="shared" si="29"/>
        <v>2T | 2025</v>
      </c>
      <c r="CR329" s="167" t="str">
        <f t="shared" si="29"/>
        <v>1T | 2025</v>
      </c>
      <c r="CS329" s="167" t="str">
        <f t="shared" si="29"/>
        <v>4T | 2024</v>
      </c>
      <c r="CT329" s="167" t="str">
        <f t="shared" si="29"/>
        <v>3T | 2024</v>
      </c>
      <c r="CU329" s="167" t="str">
        <f t="shared" si="29"/>
        <v>2T | 2024</v>
      </c>
      <c r="CV329" s="167" t="str">
        <f t="shared" si="29"/>
        <v>1T | 2024</v>
      </c>
      <c r="CW329" s="167" t="str">
        <f t="shared" si="29"/>
        <v>4T | 2023</v>
      </c>
      <c r="CX329" s="167" t="str">
        <f t="shared" si="29"/>
        <v>3T | 2023</v>
      </c>
      <c r="CY329" s="167" t="str">
        <f t="shared" si="29"/>
        <v>2T | 2023</v>
      </c>
      <c r="CZ329" s="167" t="str">
        <f t="shared" si="29"/>
        <v>1T | 2023</v>
      </c>
      <c r="DA329" s="167" t="str">
        <f t="shared" si="29"/>
        <v>4T | 2022</v>
      </c>
      <c r="DB329" s="167" t="str">
        <f t="shared" si="29"/>
        <v>3T | 2022</v>
      </c>
      <c r="DC329" s="167" t="str">
        <f t="shared" si="29"/>
        <v>2T | 2022</v>
      </c>
      <c r="DD329" s="167" t="str">
        <f t="shared" si="29"/>
        <v>1T | 2022</v>
      </c>
      <c r="DE329" s="167" t="str">
        <f t="shared" si="29"/>
        <v>4T | 2021</v>
      </c>
      <c r="DF329" s="167" t="str">
        <f t="shared" si="29"/>
        <v>3T | 2021</v>
      </c>
      <c r="DG329" s="167" t="str">
        <f t="shared" si="29"/>
        <v>2T | 2021</v>
      </c>
      <c r="DH329" s="167" t="str">
        <f t="shared" si="29"/>
        <v>1T | 2021</v>
      </c>
      <c r="DI329" s="167" t="str">
        <f t="shared" si="29"/>
        <v>4T | 2020</v>
      </c>
      <c r="DJ329" s="167" t="str">
        <f t="shared" si="29"/>
        <v>3T | 2020</v>
      </c>
      <c r="DK329" s="167" t="str">
        <f t="shared" si="29"/>
        <v>2T | 2020</v>
      </c>
      <c r="DL329" s="167" t="str">
        <f t="shared" si="29"/>
        <v>1T | 2020</v>
      </c>
    </row>
    <row r="330" spans="90:116" ht="20.149999999999999" customHeight="1" x14ac:dyDescent="0.35">
      <c r="CL330" s="49" t="s">
        <v>679</v>
      </c>
      <c r="CM330" s="50">
        <v>3756148</v>
      </c>
      <c r="CN330" s="50">
        <v>3810862</v>
      </c>
      <c r="CO330" s="50">
        <v>3908147</v>
      </c>
      <c r="CP330" s="50">
        <v>3554365</v>
      </c>
      <c r="CQ330" s="50">
        <v>3374149</v>
      </c>
      <c r="CR330" s="50">
        <v>3422560</v>
      </c>
      <c r="CS330" s="50">
        <v>3654242</v>
      </c>
      <c r="CT330" s="50">
        <v>3123510</v>
      </c>
      <c r="CU330" s="50">
        <v>3066721</v>
      </c>
      <c r="CV330" s="50">
        <v>3126497</v>
      </c>
      <c r="CW330" s="50">
        <v>3169468</v>
      </c>
      <c r="CX330" s="50">
        <v>2698431</v>
      </c>
      <c r="CY330" s="50">
        <v>2531658</v>
      </c>
      <c r="CZ330" s="50">
        <v>2394793</v>
      </c>
      <c r="DA330" s="50">
        <v>2213635</v>
      </c>
      <c r="DB330" s="50">
        <v>2079674</v>
      </c>
      <c r="DC330" s="50">
        <v>2724031</v>
      </c>
      <c r="DD330" s="50">
        <v>3115808</v>
      </c>
      <c r="DE330" s="50">
        <v>2985874</v>
      </c>
      <c r="DF330" s="50">
        <v>2857043</v>
      </c>
      <c r="DG330" s="50">
        <v>2620987</v>
      </c>
      <c r="DH330" s="50">
        <v>2659586</v>
      </c>
      <c r="DI330" s="50">
        <v>2599775</v>
      </c>
      <c r="DJ330" s="50">
        <v>2408834</v>
      </c>
      <c r="DK330" s="50">
        <v>2307579</v>
      </c>
      <c r="DL330" s="50">
        <v>2559056</v>
      </c>
    </row>
    <row r="331" spans="90:116" ht="20.149999999999999" customHeight="1" x14ac:dyDescent="0.35">
      <c r="CL331" s="36" t="s">
        <v>680</v>
      </c>
      <c r="CM331" s="202">
        <v>192896</v>
      </c>
      <c r="CN331" s="202">
        <v>180915</v>
      </c>
      <c r="CO331" s="202">
        <v>219201</v>
      </c>
      <c r="CP331" s="202">
        <v>223663</v>
      </c>
      <c r="CQ331" s="202">
        <v>214895</v>
      </c>
      <c r="CR331" s="202">
        <v>227853</v>
      </c>
      <c r="CS331" s="202">
        <v>280411</v>
      </c>
      <c r="CT331" s="202">
        <v>291831</v>
      </c>
      <c r="CU331" s="202">
        <v>281218</v>
      </c>
      <c r="CV331" s="202">
        <v>280060</v>
      </c>
      <c r="CW331" s="202">
        <v>300006</v>
      </c>
      <c r="CX331" s="202">
        <v>315361</v>
      </c>
      <c r="CY331" s="202">
        <v>291568</v>
      </c>
      <c r="CZ331" s="202">
        <v>267124</v>
      </c>
      <c r="DA331" s="202">
        <v>276125</v>
      </c>
      <c r="DB331" s="202">
        <v>284861</v>
      </c>
      <c r="DC331" s="202">
        <v>334891</v>
      </c>
      <c r="DD331" s="202">
        <v>344268</v>
      </c>
      <c r="DE331" s="202">
        <v>358255</v>
      </c>
      <c r="DF331" s="202">
        <v>349472</v>
      </c>
      <c r="DG331" s="202">
        <v>309802</v>
      </c>
      <c r="DH331" s="202">
        <v>315126</v>
      </c>
      <c r="DI331" s="202">
        <v>295616</v>
      </c>
      <c r="DJ331" s="202">
        <v>318493</v>
      </c>
      <c r="DK331" s="202">
        <v>287200</v>
      </c>
      <c r="DL331" s="202">
        <v>328085</v>
      </c>
    </row>
    <row r="332" spans="90:116" ht="20.149999999999999" customHeight="1" x14ac:dyDescent="0.35">
      <c r="CL332" s="36" t="s">
        <v>681</v>
      </c>
      <c r="CM332" s="202">
        <v>1341327</v>
      </c>
      <c r="CN332" s="202">
        <v>1322234</v>
      </c>
      <c r="CO332" s="202">
        <v>1434046</v>
      </c>
      <c r="CP332" s="202">
        <v>1303518</v>
      </c>
      <c r="CQ332" s="202">
        <v>1275767</v>
      </c>
      <c r="CR332" s="202">
        <v>1283159</v>
      </c>
      <c r="CS332" s="202">
        <v>1433629</v>
      </c>
      <c r="CT332" s="202">
        <v>1269369</v>
      </c>
      <c r="CU332" s="202">
        <v>1282551</v>
      </c>
      <c r="CV332" s="202">
        <v>1318467</v>
      </c>
      <c r="CW332" s="202">
        <v>1390408</v>
      </c>
      <c r="CX332" s="202">
        <v>1186019</v>
      </c>
      <c r="CY332" s="202">
        <v>1255870</v>
      </c>
      <c r="CZ332" s="202">
        <v>1186640</v>
      </c>
      <c r="DA332" s="202">
        <v>1133996</v>
      </c>
      <c r="DB332" s="202">
        <v>1068683</v>
      </c>
      <c r="DC332" s="202">
        <v>1359370</v>
      </c>
      <c r="DD332" s="202">
        <v>1462294</v>
      </c>
      <c r="DE332" s="202">
        <v>1322210</v>
      </c>
      <c r="DF332" s="202">
        <v>1141112</v>
      </c>
      <c r="DG332" s="202">
        <v>1042491</v>
      </c>
      <c r="DH332" s="202">
        <v>1107130</v>
      </c>
      <c r="DI332" s="202">
        <v>1059391</v>
      </c>
      <c r="DJ332" s="202">
        <v>916075</v>
      </c>
      <c r="DK332" s="202">
        <v>903816</v>
      </c>
      <c r="DL332" s="202">
        <v>1195616</v>
      </c>
    </row>
    <row r="333" spans="90:116" ht="20.149999999999999" customHeight="1" x14ac:dyDescent="0.35">
      <c r="CL333" s="36" t="s">
        <v>682</v>
      </c>
      <c r="CM333" s="202">
        <v>646694</v>
      </c>
      <c r="CN333" s="202">
        <v>520124</v>
      </c>
      <c r="CO333" s="202">
        <v>721114</v>
      </c>
      <c r="CP333" s="202">
        <v>753696</v>
      </c>
      <c r="CQ333" s="202">
        <v>631603</v>
      </c>
      <c r="CR333" s="202">
        <v>504657</v>
      </c>
      <c r="CS333" s="202">
        <v>648633</v>
      </c>
      <c r="CT333" s="202">
        <v>726456</v>
      </c>
      <c r="CU333" s="202">
        <v>593953</v>
      </c>
      <c r="CV333" s="202">
        <v>528042</v>
      </c>
      <c r="CW333" s="202">
        <v>637301</v>
      </c>
      <c r="CX333" s="202">
        <v>660625</v>
      </c>
      <c r="CY333" s="202">
        <v>536103</v>
      </c>
      <c r="CZ333" s="202">
        <v>390205</v>
      </c>
      <c r="DA333" s="202">
        <v>474770</v>
      </c>
      <c r="DB333" s="202">
        <v>538961</v>
      </c>
      <c r="DC333" s="202">
        <v>539604</v>
      </c>
      <c r="DD333" s="202">
        <v>487744</v>
      </c>
      <c r="DE333" s="202">
        <v>636281</v>
      </c>
      <c r="DF333" s="202">
        <v>762327</v>
      </c>
      <c r="DG333" s="202">
        <v>625485</v>
      </c>
      <c r="DH333" s="202">
        <v>532951</v>
      </c>
      <c r="DI333" s="202">
        <v>571718</v>
      </c>
      <c r="DJ333" s="202">
        <v>630988</v>
      </c>
      <c r="DK333" s="202">
        <v>510628</v>
      </c>
      <c r="DL333" s="202">
        <v>471875</v>
      </c>
    </row>
    <row r="334" spans="90:116" ht="20.149999999999999" customHeight="1" x14ac:dyDescent="0.35">
      <c r="CL334" s="36" t="s">
        <v>683</v>
      </c>
      <c r="CM334" s="202">
        <v>239523</v>
      </c>
      <c r="CN334" s="202">
        <v>230805</v>
      </c>
      <c r="CO334" s="202">
        <v>265345</v>
      </c>
      <c r="CP334" s="202">
        <v>227330</v>
      </c>
      <c r="CQ334" s="202">
        <v>228234</v>
      </c>
      <c r="CR334" s="202">
        <v>226713</v>
      </c>
      <c r="CS334" s="202">
        <v>261383</v>
      </c>
      <c r="CT334" s="202">
        <v>219435</v>
      </c>
      <c r="CU334" s="202">
        <v>232056</v>
      </c>
      <c r="CV334" s="202">
        <v>223285</v>
      </c>
      <c r="CW334" s="202">
        <v>243756</v>
      </c>
      <c r="CX334" s="202">
        <v>190624</v>
      </c>
      <c r="CY334" s="202">
        <v>186873</v>
      </c>
      <c r="CZ334" s="202">
        <v>164544</v>
      </c>
      <c r="DA334" s="202">
        <v>160136</v>
      </c>
      <c r="DB334" s="202">
        <v>144977</v>
      </c>
      <c r="DC334" s="202">
        <v>176026</v>
      </c>
      <c r="DD334" s="202">
        <v>179314</v>
      </c>
      <c r="DE334" s="202">
        <v>177605</v>
      </c>
      <c r="DF334" s="202">
        <v>140233</v>
      </c>
      <c r="DG334" s="202">
        <v>128263</v>
      </c>
      <c r="DH334" s="202">
        <v>137104</v>
      </c>
      <c r="DI334" s="202">
        <v>130112</v>
      </c>
      <c r="DJ334" s="202">
        <v>112958</v>
      </c>
      <c r="DK334" s="202">
        <v>121381</v>
      </c>
      <c r="DL334" s="202">
        <v>157868</v>
      </c>
    </row>
    <row r="335" spans="90:116" ht="20.149999999999999" customHeight="1" x14ac:dyDescent="0.35">
      <c r="CL335" s="36" t="s">
        <v>684</v>
      </c>
      <c r="CM335" s="202">
        <v>151440</v>
      </c>
      <c r="CN335" s="202">
        <v>142727</v>
      </c>
      <c r="CO335" s="202">
        <v>157822</v>
      </c>
      <c r="CP335" s="202">
        <v>163736</v>
      </c>
      <c r="CQ335" s="202">
        <v>140046</v>
      </c>
      <c r="CR335" s="202">
        <v>128335</v>
      </c>
      <c r="CS335" s="202">
        <v>141545</v>
      </c>
      <c r="CT335" s="202">
        <v>141116</v>
      </c>
      <c r="CU335" s="202">
        <v>131933</v>
      </c>
      <c r="CV335" s="202">
        <v>130982</v>
      </c>
      <c r="CW335" s="202">
        <v>133719</v>
      </c>
      <c r="CX335" s="202">
        <v>120576</v>
      </c>
      <c r="CY335" s="202">
        <v>126351</v>
      </c>
      <c r="CZ335" s="202">
        <v>116991</v>
      </c>
      <c r="DA335" s="202">
        <v>110772</v>
      </c>
      <c r="DB335" s="202">
        <v>120307</v>
      </c>
      <c r="DC335" s="202">
        <v>136207</v>
      </c>
      <c r="DD335" s="202">
        <v>167372</v>
      </c>
      <c r="DE335" s="202">
        <v>182096</v>
      </c>
      <c r="DF335" s="202">
        <v>174829</v>
      </c>
      <c r="DG335" s="202">
        <v>149098</v>
      </c>
      <c r="DH335" s="202">
        <v>211955</v>
      </c>
      <c r="DI335" s="202">
        <v>109058</v>
      </c>
      <c r="DJ335" s="202">
        <v>145863</v>
      </c>
      <c r="DK335" s="202">
        <v>142679</v>
      </c>
      <c r="DL335" s="202">
        <v>152776</v>
      </c>
    </row>
    <row r="336" spans="90:116" ht="20.149999999999999" customHeight="1" x14ac:dyDescent="0.35">
      <c r="CL336" s="36" t="s">
        <v>685</v>
      </c>
      <c r="CM336" s="202">
        <v>111674</v>
      </c>
      <c r="CN336" s="202">
        <v>122887</v>
      </c>
      <c r="CO336" s="202">
        <v>139171</v>
      </c>
      <c r="CP336" s="202">
        <v>149221</v>
      </c>
      <c r="CQ336" s="202">
        <v>144450</v>
      </c>
      <c r="CR336" s="202">
        <v>150285</v>
      </c>
      <c r="CS336" s="202">
        <v>184120</v>
      </c>
      <c r="CT336" s="202">
        <v>183657</v>
      </c>
      <c r="CU336" s="202">
        <v>174633</v>
      </c>
      <c r="CV336" s="202">
        <v>185343</v>
      </c>
      <c r="CW336" s="202">
        <v>208204</v>
      </c>
      <c r="CX336" s="202">
        <v>203362</v>
      </c>
      <c r="CY336" s="202">
        <v>167976</v>
      </c>
      <c r="CZ336" s="202">
        <v>164251</v>
      </c>
      <c r="DA336" s="202">
        <v>181167</v>
      </c>
      <c r="DB336" s="202">
        <v>192393</v>
      </c>
      <c r="DC336" s="202">
        <v>220132</v>
      </c>
      <c r="DD336" s="202">
        <v>246977</v>
      </c>
      <c r="DE336" s="202">
        <v>248629</v>
      </c>
      <c r="DF336" s="202">
        <v>238744</v>
      </c>
      <c r="DG336" s="202">
        <v>197094</v>
      </c>
      <c r="DH336" s="202">
        <v>194880</v>
      </c>
      <c r="DI336" s="202">
        <v>178147</v>
      </c>
      <c r="DJ336" s="202">
        <v>186818</v>
      </c>
      <c r="DK336" s="202">
        <v>177860</v>
      </c>
      <c r="DL336" s="202">
        <v>178663</v>
      </c>
    </row>
    <row r="337" spans="90:116" ht="25" customHeight="1" x14ac:dyDescent="0.35">
      <c r="CL337" s="4" t="s">
        <v>686</v>
      </c>
      <c r="CM337" s="203">
        <f>IFERROR(SUM(CM330:CM336),0)</f>
        <v>6439702</v>
      </c>
      <c r="CN337" s="203">
        <f>IFERROR(SUM(CN330:CN336),0)</f>
        <v>6330554</v>
      </c>
      <c r="CO337" s="203">
        <f t="shared" ref="CO337:DL337" si="30">IFERROR(SUM(CO330:CO336),0)</f>
        <v>6844846</v>
      </c>
      <c r="CP337" s="203">
        <f t="shared" si="30"/>
        <v>6375529</v>
      </c>
      <c r="CQ337" s="203">
        <f t="shared" si="30"/>
        <v>6009144</v>
      </c>
      <c r="CR337" s="203">
        <f t="shared" si="30"/>
        <v>5943562</v>
      </c>
      <c r="CS337" s="203">
        <f t="shared" si="30"/>
        <v>6603963</v>
      </c>
      <c r="CT337" s="203">
        <f t="shared" si="30"/>
        <v>5955374</v>
      </c>
      <c r="CU337" s="203">
        <f t="shared" si="30"/>
        <v>5763065</v>
      </c>
      <c r="CV337" s="203">
        <f t="shared" si="30"/>
        <v>5792676</v>
      </c>
      <c r="CW337" s="203">
        <f t="shared" si="30"/>
        <v>6082862</v>
      </c>
      <c r="CX337" s="203">
        <f t="shared" si="30"/>
        <v>5374998</v>
      </c>
      <c r="CY337" s="203">
        <f t="shared" si="30"/>
        <v>5096399</v>
      </c>
      <c r="CZ337" s="203">
        <f t="shared" si="30"/>
        <v>4684548</v>
      </c>
      <c r="DA337" s="203">
        <f t="shared" si="30"/>
        <v>4550601</v>
      </c>
      <c r="DB337" s="203">
        <f t="shared" si="30"/>
        <v>4429856</v>
      </c>
      <c r="DC337" s="203">
        <f t="shared" si="30"/>
        <v>5490261</v>
      </c>
      <c r="DD337" s="203">
        <f t="shared" si="30"/>
        <v>6003777</v>
      </c>
      <c r="DE337" s="203">
        <f t="shared" si="30"/>
        <v>5910950</v>
      </c>
      <c r="DF337" s="203">
        <f t="shared" si="30"/>
        <v>5663760</v>
      </c>
      <c r="DG337" s="203">
        <f t="shared" si="30"/>
        <v>5073220</v>
      </c>
      <c r="DH337" s="203">
        <f t="shared" si="30"/>
        <v>5158732</v>
      </c>
      <c r="DI337" s="203">
        <f t="shared" si="30"/>
        <v>4943817</v>
      </c>
      <c r="DJ337" s="203">
        <f t="shared" si="30"/>
        <v>4720029</v>
      </c>
      <c r="DK337" s="203">
        <f t="shared" si="30"/>
        <v>4451143</v>
      </c>
      <c r="DL337" s="203">
        <f t="shared" si="30"/>
        <v>5043939</v>
      </c>
    </row>
    <row r="338" spans="90:116" ht="20.149999999999999" customHeight="1" x14ac:dyDescent="0.35">
      <c r="CL338" s="36" t="s">
        <v>687</v>
      </c>
      <c r="CM338" s="202">
        <v>0</v>
      </c>
      <c r="CN338" s="202">
        <v>0</v>
      </c>
      <c r="CO338" s="202">
        <v>0</v>
      </c>
      <c r="CP338" s="202">
        <v>0</v>
      </c>
      <c r="CQ338" s="202">
        <v>0</v>
      </c>
      <c r="CR338" s="202">
        <v>0</v>
      </c>
      <c r="CS338" s="202">
        <v>0</v>
      </c>
      <c r="CT338" s="202">
        <v>0</v>
      </c>
      <c r="CU338" s="202">
        <v>0</v>
      </c>
      <c r="CV338" s="202">
        <v>0</v>
      </c>
      <c r="CW338" s="202">
        <v>0</v>
      </c>
      <c r="CX338" s="202">
        <v>0</v>
      </c>
      <c r="CY338" s="202">
        <v>0</v>
      </c>
      <c r="CZ338" s="202">
        <v>0</v>
      </c>
      <c r="DA338" s="202">
        <v>0</v>
      </c>
      <c r="DB338" s="202">
        <v>0</v>
      </c>
      <c r="DC338" s="202">
        <v>0</v>
      </c>
      <c r="DD338" s="202">
        <v>0</v>
      </c>
      <c r="DE338" s="202">
        <v>0</v>
      </c>
      <c r="DF338" s="202">
        <v>0</v>
      </c>
      <c r="DG338" s="202">
        <v>0</v>
      </c>
      <c r="DH338" s="202">
        <v>0</v>
      </c>
      <c r="DI338" s="202">
        <v>0</v>
      </c>
      <c r="DJ338" s="202">
        <v>0</v>
      </c>
      <c r="DK338" s="202">
        <v>0</v>
      </c>
      <c r="DL338" s="202">
        <v>0</v>
      </c>
    </row>
    <row r="339" spans="90:116" ht="20.149999999999999" customHeight="1" x14ac:dyDescent="0.35">
      <c r="CL339" s="36" t="s">
        <v>688</v>
      </c>
      <c r="CM339" s="202">
        <v>34075</v>
      </c>
      <c r="CN339" s="202">
        <v>9244</v>
      </c>
      <c r="CO339" s="202">
        <v>122489</v>
      </c>
      <c r="CP339" s="202">
        <v>-151559</v>
      </c>
      <c r="CQ339" s="202">
        <v>81043</v>
      </c>
      <c r="CR339" s="202">
        <v>-57975</v>
      </c>
      <c r="CS339" s="202">
        <v>199174</v>
      </c>
      <c r="CT339" s="202">
        <v>-95106</v>
      </c>
      <c r="CU339" s="202">
        <v>92144</v>
      </c>
      <c r="CV339" s="202">
        <v>-83208</v>
      </c>
      <c r="CW339" s="202">
        <v>110807</v>
      </c>
      <c r="CX339" s="202">
        <v>66963</v>
      </c>
      <c r="CY339" s="202">
        <v>-34768</v>
      </c>
      <c r="CZ339" s="202">
        <v>-3267</v>
      </c>
      <c r="DA339" s="202">
        <v>-326296</v>
      </c>
      <c r="DB339" s="202">
        <v>54888</v>
      </c>
      <c r="DC339" s="202">
        <v>-30106</v>
      </c>
      <c r="DD339" s="202">
        <v>-23215</v>
      </c>
      <c r="DE339" s="202">
        <v>59814</v>
      </c>
      <c r="DF339" s="202">
        <v>-44716</v>
      </c>
      <c r="DG339" s="202">
        <v>-25343</v>
      </c>
      <c r="DH339" s="202">
        <v>-84757</v>
      </c>
      <c r="DI339" s="202">
        <v>156518</v>
      </c>
      <c r="DJ339" s="202">
        <v>65084</v>
      </c>
      <c r="DK339" s="202">
        <v>-59603</v>
      </c>
      <c r="DL339" s="202">
        <v>-148879</v>
      </c>
    </row>
    <row r="340" spans="90:116" ht="20.149999999999999" customHeight="1" x14ac:dyDescent="0.35">
      <c r="CL340" s="251" t="s">
        <v>689</v>
      </c>
      <c r="CM340" s="268">
        <v>-69916</v>
      </c>
      <c r="CN340" s="268">
        <v>35928</v>
      </c>
      <c r="CO340" s="268">
        <v>-1</v>
      </c>
      <c r="CP340" s="268">
        <v>0</v>
      </c>
      <c r="CQ340" s="268">
        <v>0</v>
      </c>
      <c r="CR340" s="268">
        <v>210</v>
      </c>
      <c r="CS340" s="268">
        <v>161292</v>
      </c>
      <c r="CT340" s="268">
        <v>160802</v>
      </c>
      <c r="CU340" s="268">
        <v>26347</v>
      </c>
      <c r="CV340" s="268">
        <v>17603</v>
      </c>
      <c r="CW340" s="268">
        <v>47677</v>
      </c>
      <c r="CX340" s="268">
        <v>47805</v>
      </c>
      <c r="CY340" s="268">
        <v>36249</v>
      </c>
      <c r="CZ340" s="268">
        <v>40467</v>
      </c>
      <c r="DA340" s="268">
        <v>16443</v>
      </c>
      <c r="DB340" s="268">
        <v>15176</v>
      </c>
      <c r="DC340" s="268">
        <v>15260</v>
      </c>
      <c r="DD340" s="268">
        <v>12794</v>
      </c>
      <c r="DE340" s="268">
        <v>0</v>
      </c>
      <c r="DF340" s="268">
        <v>0</v>
      </c>
      <c r="DG340" s="268">
        <v>0</v>
      </c>
      <c r="DH340" s="268">
        <v>913</v>
      </c>
      <c r="DI340" s="268">
        <v>1558</v>
      </c>
      <c r="DJ340" s="268">
        <v>0</v>
      </c>
      <c r="DK340" s="268">
        <v>0</v>
      </c>
      <c r="DL340" s="268">
        <v>0</v>
      </c>
    </row>
    <row r="341" spans="90:116" ht="30" customHeight="1" x14ac:dyDescent="0.35">
      <c r="CL341" s="39" t="s">
        <v>704</v>
      </c>
      <c r="CM341" s="204">
        <f>IFERROR(SUM(CM337:CM340),0)</f>
        <v>6403861</v>
      </c>
      <c r="CN341" s="204">
        <f>IFERROR(SUM(CN337:CN340),0)</f>
        <v>6375726</v>
      </c>
      <c r="CO341" s="204">
        <f>IFERROR(SUM(CO337:CO340),0)</f>
        <v>6967334</v>
      </c>
      <c r="CP341" s="204">
        <f t="shared" ref="CP341:DL341" si="31">IFERROR(SUM(CP337:CP340),0)</f>
        <v>6223970</v>
      </c>
      <c r="CQ341" s="204">
        <f t="shared" si="31"/>
        <v>6090187</v>
      </c>
      <c r="CR341" s="204">
        <f t="shared" si="31"/>
        <v>5885797</v>
      </c>
      <c r="CS341" s="204">
        <f t="shared" si="31"/>
        <v>6964429</v>
      </c>
      <c r="CT341" s="204">
        <f t="shared" si="31"/>
        <v>6021070</v>
      </c>
      <c r="CU341" s="204">
        <f t="shared" si="31"/>
        <v>5881556</v>
      </c>
      <c r="CV341" s="204">
        <f t="shared" si="31"/>
        <v>5727071</v>
      </c>
      <c r="CW341" s="204">
        <f t="shared" si="31"/>
        <v>6241346</v>
      </c>
      <c r="CX341" s="204">
        <f t="shared" si="31"/>
        <v>5489766</v>
      </c>
      <c r="CY341" s="204">
        <f t="shared" si="31"/>
        <v>5097880</v>
      </c>
      <c r="CZ341" s="204">
        <f t="shared" si="31"/>
        <v>4721748</v>
      </c>
      <c r="DA341" s="204">
        <f t="shared" si="31"/>
        <v>4240748</v>
      </c>
      <c r="DB341" s="204">
        <f t="shared" si="31"/>
        <v>4499920</v>
      </c>
      <c r="DC341" s="204">
        <f t="shared" si="31"/>
        <v>5475415</v>
      </c>
      <c r="DD341" s="204">
        <f t="shared" si="31"/>
        <v>5993356</v>
      </c>
      <c r="DE341" s="204">
        <f t="shared" si="31"/>
        <v>5970764</v>
      </c>
      <c r="DF341" s="204">
        <f t="shared" si="31"/>
        <v>5619044</v>
      </c>
      <c r="DG341" s="204">
        <f t="shared" si="31"/>
        <v>5047877</v>
      </c>
      <c r="DH341" s="204">
        <f t="shared" si="31"/>
        <v>5074888</v>
      </c>
      <c r="DI341" s="204">
        <f t="shared" si="31"/>
        <v>5101893</v>
      </c>
      <c r="DJ341" s="204">
        <f t="shared" si="31"/>
        <v>4785113</v>
      </c>
      <c r="DK341" s="204">
        <f t="shared" si="31"/>
        <v>4391540</v>
      </c>
      <c r="DL341" s="204">
        <f t="shared" si="31"/>
        <v>4895060</v>
      </c>
    </row>
    <row r="342" spans="90:116" ht="30" customHeight="1" x14ac:dyDescent="0.35">
      <c r="CL342" s="102" t="s">
        <v>712</v>
      </c>
      <c r="CM342" s="461">
        <v>1663919</v>
      </c>
      <c r="CN342" s="367">
        <v>1557584</v>
      </c>
      <c r="CO342" s="204">
        <v>1585493</v>
      </c>
      <c r="CP342" s="204">
        <v>1483325</v>
      </c>
      <c r="CQ342" s="204">
        <v>1424464</v>
      </c>
      <c r="CR342" s="204">
        <v>1440424</v>
      </c>
      <c r="CS342" s="204">
        <v>1385673</v>
      </c>
      <c r="CT342" s="204">
        <v>1343687</v>
      </c>
      <c r="CU342" s="204">
        <v>1261441</v>
      </c>
      <c r="CV342" s="204">
        <v>1178238</v>
      </c>
      <c r="CW342" s="204">
        <v>1200374</v>
      </c>
      <c r="CX342" s="204">
        <v>1133966</v>
      </c>
      <c r="CY342" s="204">
        <v>1125668</v>
      </c>
      <c r="CZ342" s="204">
        <v>987508</v>
      </c>
      <c r="DA342" s="204">
        <v>934544</v>
      </c>
      <c r="DB342" s="204">
        <v>991869</v>
      </c>
      <c r="DC342" s="204">
        <v>920530</v>
      </c>
      <c r="DD342" s="204">
        <v>868131</v>
      </c>
      <c r="DE342" s="204">
        <v>910410</v>
      </c>
      <c r="DF342" s="204">
        <v>893562</v>
      </c>
      <c r="DG342" s="204">
        <v>826666</v>
      </c>
      <c r="DH342" s="204">
        <v>842555</v>
      </c>
      <c r="DI342" s="204">
        <v>835041</v>
      </c>
      <c r="DJ342" s="204">
        <v>799877</v>
      </c>
      <c r="DK342" s="204">
        <v>680582</v>
      </c>
      <c r="DL342" s="204">
        <v>730219</v>
      </c>
    </row>
    <row r="343" spans="90:116" ht="40" customHeight="1" x14ac:dyDescent="0.35">
      <c r="CL343" s="368" t="s">
        <v>710</v>
      </c>
      <c r="CM343" s="462">
        <f>IFERROR(SUM(CM342,CM341),0)</f>
        <v>8067780</v>
      </c>
      <c r="CN343" s="462">
        <f>IFERROR(SUM(CN342,CN341),0)</f>
        <v>7933310</v>
      </c>
      <c r="CO343" s="462">
        <f t="shared" ref="CO343:DL343" si="32">IFERROR(SUM(CO342,CO341),0)</f>
        <v>8552827</v>
      </c>
      <c r="CP343" s="462">
        <f t="shared" si="32"/>
        <v>7707295</v>
      </c>
      <c r="CQ343" s="462">
        <f t="shared" si="32"/>
        <v>7514651</v>
      </c>
      <c r="CR343" s="462">
        <f t="shared" si="32"/>
        <v>7326221</v>
      </c>
      <c r="CS343" s="462">
        <f t="shared" si="32"/>
        <v>8350102</v>
      </c>
      <c r="CT343" s="462">
        <f t="shared" si="32"/>
        <v>7364757</v>
      </c>
      <c r="CU343" s="462">
        <f t="shared" si="32"/>
        <v>7142997</v>
      </c>
      <c r="CV343" s="462">
        <f t="shared" si="32"/>
        <v>6905309</v>
      </c>
      <c r="CW343" s="462">
        <f t="shared" si="32"/>
        <v>7441720</v>
      </c>
      <c r="CX343" s="462">
        <f t="shared" si="32"/>
        <v>6623732</v>
      </c>
      <c r="CY343" s="462">
        <f t="shared" si="32"/>
        <v>6223548</v>
      </c>
      <c r="CZ343" s="462">
        <f t="shared" si="32"/>
        <v>5709256</v>
      </c>
      <c r="DA343" s="462">
        <f t="shared" si="32"/>
        <v>5175292</v>
      </c>
      <c r="DB343" s="462">
        <f t="shared" si="32"/>
        <v>5491789</v>
      </c>
      <c r="DC343" s="462">
        <f t="shared" si="32"/>
        <v>6395945</v>
      </c>
      <c r="DD343" s="462">
        <f t="shared" si="32"/>
        <v>6861487</v>
      </c>
      <c r="DE343" s="462">
        <f t="shared" si="32"/>
        <v>6881174</v>
      </c>
      <c r="DF343" s="462">
        <f t="shared" si="32"/>
        <v>6512606</v>
      </c>
      <c r="DG343" s="462">
        <f t="shared" si="32"/>
        <v>5874543</v>
      </c>
      <c r="DH343" s="462">
        <f t="shared" si="32"/>
        <v>5917443</v>
      </c>
      <c r="DI343" s="462">
        <f t="shared" si="32"/>
        <v>5936934</v>
      </c>
      <c r="DJ343" s="462">
        <f t="shared" si="32"/>
        <v>5584990</v>
      </c>
      <c r="DK343" s="462">
        <f t="shared" si="32"/>
        <v>5072122</v>
      </c>
      <c r="DL343" s="462">
        <f t="shared" si="32"/>
        <v>5625279</v>
      </c>
    </row>
    <row r="344" spans="90:116" ht="20.149999999999999" customHeight="1" x14ac:dyDescent="0.35">
      <c r="CL344" s="84" t="s">
        <v>713</v>
      </c>
      <c r="CM344" s="84"/>
    </row>
    <row r="345" spans="90:116" ht="20.149999999999999" customHeight="1" x14ac:dyDescent="0.35"/>
    <row r="346" spans="90:116" ht="20.149999999999999" customHeight="1" x14ac:dyDescent="0.35"/>
    <row r="347" spans="90:116" ht="20.149999999999999" customHeight="1" x14ac:dyDescent="0.35"/>
    <row r="348" spans="90:116" ht="20.149999999999999" customHeight="1" x14ac:dyDescent="0.35"/>
    <row r="349" spans="90:116" ht="20.149999999999999" customHeight="1" x14ac:dyDescent="0.35"/>
    <row r="350" spans="90:116" ht="60" customHeight="1" x14ac:dyDescent="0.35">
      <c r="CL350" s="200" t="s">
        <v>714</v>
      </c>
      <c r="CM350" s="167" t="str">
        <f>CM266</f>
        <v>2T | 2026</v>
      </c>
      <c r="CN350" s="167" t="str">
        <f t="shared" ref="CN350:DL350" si="33">CN266</f>
        <v>1T | 2026</v>
      </c>
      <c r="CO350" s="167" t="str">
        <f t="shared" si="33"/>
        <v>4T | 2025</v>
      </c>
      <c r="CP350" s="167" t="str">
        <f t="shared" si="33"/>
        <v>3T | 2025</v>
      </c>
      <c r="CQ350" s="167" t="str">
        <f t="shared" si="33"/>
        <v>2T | 2025</v>
      </c>
      <c r="CR350" s="167" t="str">
        <f t="shared" si="33"/>
        <v>1T | 2025</v>
      </c>
      <c r="CS350" s="167" t="str">
        <f t="shared" si="33"/>
        <v>4T | 2024</v>
      </c>
      <c r="CT350" s="167" t="str">
        <f t="shared" si="33"/>
        <v>3T | 2024</v>
      </c>
      <c r="CU350" s="167" t="str">
        <f t="shared" si="33"/>
        <v>2T | 2024</v>
      </c>
      <c r="CV350" s="167" t="str">
        <f t="shared" si="33"/>
        <v>1T | 2024</v>
      </c>
      <c r="CW350" s="167" t="str">
        <f t="shared" si="33"/>
        <v>4T | 2023</v>
      </c>
      <c r="CX350" s="167" t="str">
        <f t="shared" si="33"/>
        <v>3T | 2023</v>
      </c>
      <c r="CY350" s="167" t="str">
        <f t="shared" si="33"/>
        <v>2T | 2023</v>
      </c>
      <c r="CZ350" s="167" t="str">
        <f t="shared" si="33"/>
        <v>1T | 2023</v>
      </c>
      <c r="DA350" s="167" t="str">
        <f t="shared" si="33"/>
        <v>4T | 2022</v>
      </c>
      <c r="DB350" s="167" t="str">
        <f t="shared" si="33"/>
        <v>3T | 2022</v>
      </c>
      <c r="DC350" s="167" t="str">
        <f t="shared" si="33"/>
        <v>2T | 2022</v>
      </c>
      <c r="DD350" s="167" t="str">
        <f t="shared" si="33"/>
        <v>1T | 2022</v>
      </c>
      <c r="DE350" s="167" t="str">
        <f t="shared" si="33"/>
        <v>4T | 2021</v>
      </c>
      <c r="DF350" s="167" t="str">
        <f t="shared" si="33"/>
        <v>3T | 2021</v>
      </c>
      <c r="DG350" s="167" t="str">
        <f t="shared" si="33"/>
        <v>2T | 2021</v>
      </c>
      <c r="DH350" s="167" t="str">
        <f t="shared" si="33"/>
        <v>1T | 2021</v>
      </c>
      <c r="DI350" s="167" t="str">
        <f t="shared" si="33"/>
        <v>4T | 2020</v>
      </c>
      <c r="DJ350" s="167" t="str">
        <f t="shared" si="33"/>
        <v>3T | 2020</v>
      </c>
      <c r="DK350" s="167" t="str">
        <f t="shared" si="33"/>
        <v>2T | 2020</v>
      </c>
      <c r="DL350" s="167" t="str">
        <f t="shared" si="33"/>
        <v>1T | 2020</v>
      </c>
    </row>
    <row r="351" spans="90:116" ht="20.149999999999999" customHeight="1" x14ac:dyDescent="0.35">
      <c r="CL351" s="49" t="s">
        <v>696</v>
      </c>
      <c r="CM351" s="50">
        <v>2648039</v>
      </c>
      <c r="CN351" s="50">
        <v>2342687</v>
      </c>
      <c r="CO351" s="50">
        <v>2492668</v>
      </c>
      <c r="CP351" s="50">
        <v>2552644</v>
      </c>
      <c r="CQ351" s="50">
        <v>2441227</v>
      </c>
      <c r="CR351" s="50">
        <v>2232751</v>
      </c>
      <c r="CS351" s="50">
        <v>2246043</v>
      </c>
      <c r="CT351" s="50">
        <v>2152180</v>
      </c>
      <c r="CU351" s="50">
        <v>1999042</v>
      </c>
      <c r="CV351" s="50">
        <v>1929334</v>
      </c>
      <c r="CW351" s="50">
        <v>2266144</v>
      </c>
      <c r="CX351" s="50">
        <v>2325940</v>
      </c>
      <c r="CY351" s="50">
        <v>2723027</v>
      </c>
      <c r="CZ351" s="50">
        <v>2883714</v>
      </c>
      <c r="DA351" s="50">
        <v>3390343</v>
      </c>
      <c r="DB351" s="50">
        <v>3627964</v>
      </c>
      <c r="DC351" s="50">
        <v>3873013</v>
      </c>
      <c r="DD351" s="50">
        <v>3561728</v>
      </c>
      <c r="DE351" s="50">
        <v>3756646</v>
      </c>
      <c r="DF351" s="50">
        <v>3838364</v>
      </c>
      <c r="DG351" s="50">
        <v>3632514</v>
      </c>
      <c r="DH351" s="50">
        <v>3371412</v>
      </c>
      <c r="DI351" s="50">
        <v>2690148</v>
      </c>
      <c r="DJ351" s="50">
        <v>2820599</v>
      </c>
      <c r="DK351" s="50">
        <v>2576105</v>
      </c>
      <c r="DL351" s="50">
        <v>2871503</v>
      </c>
    </row>
    <row r="352" spans="90:116" ht="20.149999999999999" customHeight="1" x14ac:dyDescent="0.35">
      <c r="CL352" s="36" t="s">
        <v>715</v>
      </c>
      <c r="CM352" s="202">
        <v>1167256</v>
      </c>
      <c r="CN352" s="202">
        <v>1207399</v>
      </c>
      <c r="CO352" s="202">
        <v>1231932</v>
      </c>
      <c r="CP352" s="202">
        <v>1129355</v>
      </c>
      <c r="CQ352" s="202">
        <v>1152685</v>
      </c>
      <c r="CR352" s="202">
        <v>1129961</v>
      </c>
      <c r="CS352" s="202">
        <v>954791</v>
      </c>
      <c r="CT352" s="202">
        <v>904242</v>
      </c>
      <c r="CU352" s="202">
        <v>917519</v>
      </c>
      <c r="CV352" s="202">
        <v>1016555</v>
      </c>
      <c r="CW352" s="202">
        <v>932015</v>
      </c>
      <c r="CX352" s="202">
        <v>967754</v>
      </c>
      <c r="CY352" s="202">
        <v>1009531</v>
      </c>
      <c r="CZ352" s="202">
        <v>956466</v>
      </c>
      <c r="DA352" s="202">
        <v>1007409</v>
      </c>
      <c r="DB352" s="202">
        <v>997490</v>
      </c>
      <c r="DC352" s="202">
        <v>1067459</v>
      </c>
      <c r="DD352" s="202">
        <v>1055478</v>
      </c>
      <c r="DE352" s="202">
        <v>1126561</v>
      </c>
      <c r="DF352" s="202">
        <v>1042841</v>
      </c>
      <c r="DG352" s="202">
        <v>996727</v>
      </c>
      <c r="DH352" s="202">
        <v>999427</v>
      </c>
      <c r="DI352" s="202">
        <v>1050228</v>
      </c>
      <c r="DJ352" s="202">
        <v>977301</v>
      </c>
      <c r="DK352" s="202">
        <v>1039722</v>
      </c>
      <c r="DL352" s="202">
        <v>1120070</v>
      </c>
    </row>
    <row r="353" spans="90:116" ht="20.149999999999999" customHeight="1" x14ac:dyDescent="0.35">
      <c r="CL353" s="36" t="s">
        <v>700</v>
      </c>
      <c r="CM353" s="202">
        <v>47369</v>
      </c>
      <c r="CN353" s="202">
        <v>39352</v>
      </c>
      <c r="CO353" s="202">
        <v>26997</v>
      </c>
      <c r="CP353" s="202">
        <v>26466</v>
      </c>
      <c r="CQ353" s="202">
        <v>27707</v>
      </c>
      <c r="CR353" s="202">
        <v>22979</v>
      </c>
      <c r="CS353" s="202">
        <v>16834</v>
      </c>
      <c r="CT353" s="202">
        <v>13045</v>
      </c>
      <c r="CU353" s="202">
        <v>12000</v>
      </c>
      <c r="CV353" s="202">
        <v>7389</v>
      </c>
      <c r="CW353" s="202">
        <v>6065</v>
      </c>
      <c r="CX353" s="202">
        <v>5027</v>
      </c>
      <c r="CY353" s="202">
        <v>4221</v>
      </c>
      <c r="CZ353" s="202">
        <v>3410</v>
      </c>
      <c r="DA353" s="202">
        <v>3504</v>
      </c>
      <c r="DB353" s="202">
        <v>4032</v>
      </c>
      <c r="DC353" s="202">
        <v>3322</v>
      </c>
      <c r="DD353" s="202">
        <v>5101</v>
      </c>
      <c r="DE353" s="202">
        <v>4859</v>
      </c>
      <c r="DF353" s="202">
        <v>6217</v>
      </c>
      <c r="DG353" s="202">
        <v>12944</v>
      </c>
      <c r="DH353" s="202">
        <v>6966</v>
      </c>
      <c r="DI353" s="202">
        <v>4452</v>
      </c>
      <c r="DJ353" s="202">
        <v>4609</v>
      </c>
      <c r="DK353" s="202">
        <v>4314</v>
      </c>
      <c r="DL353" s="202">
        <v>3439</v>
      </c>
    </row>
    <row r="354" spans="90:116" ht="20.149999999999999" customHeight="1" x14ac:dyDescent="0.35">
      <c r="CL354" s="36" t="s">
        <v>716</v>
      </c>
      <c r="CM354" s="202">
        <v>53695</v>
      </c>
      <c r="CN354" s="202">
        <v>39659</v>
      </c>
      <c r="CO354" s="202">
        <v>268623</v>
      </c>
      <c r="CP354" s="202">
        <v>240475</v>
      </c>
      <c r="CQ354" s="202">
        <v>4197</v>
      </c>
      <c r="CR354" s="202">
        <v>262961</v>
      </c>
      <c r="CS354" s="202">
        <v>263884</v>
      </c>
      <c r="CT354" s="202">
        <v>236491</v>
      </c>
      <c r="CU354" s="202">
        <v>270497</v>
      </c>
      <c r="CV354" s="202">
        <v>260608</v>
      </c>
      <c r="CW354" s="202">
        <v>290977</v>
      </c>
      <c r="CX354" s="202">
        <v>218980</v>
      </c>
      <c r="CY354" s="202">
        <v>239549</v>
      </c>
      <c r="CZ354" s="202">
        <v>223654</v>
      </c>
      <c r="DA354" s="202">
        <v>226419</v>
      </c>
      <c r="DB354" s="202">
        <v>201625</v>
      </c>
      <c r="DC354" s="202">
        <v>223437</v>
      </c>
      <c r="DD354" s="202">
        <v>204191</v>
      </c>
      <c r="DE354" s="202">
        <v>203075</v>
      </c>
      <c r="DF354" s="202">
        <v>167875</v>
      </c>
      <c r="DG354" s="202">
        <v>171645</v>
      </c>
      <c r="DH354" s="202">
        <v>186717</v>
      </c>
      <c r="DI354" s="202">
        <v>178815</v>
      </c>
      <c r="DJ354" s="202">
        <v>149154</v>
      </c>
      <c r="DK354" s="202">
        <v>169009</v>
      </c>
      <c r="DL354" s="202">
        <v>217006</v>
      </c>
    </row>
    <row r="355" spans="90:116" ht="25" customHeight="1" x14ac:dyDescent="0.35">
      <c r="CL355" s="4" t="s">
        <v>686</v>
      </c>
      <c r="CM355" s="203">
        <f>IFERROR(SUM(CM351:CM354),0)</f>
        <v>3916359</v>
      </c>
      <c r="CN355" s="203">
        <f>IFERROR(SUM(CN351:CN354),0)</f>
        <v>3629097</v>
      </c>
      <c r="CO355" s="203">
        <f t="shared" ref="CO355:DL355" si="34">IFERROR(SUM(CO351:CO354),0)</f>
        <v>4020220</v>
      </c>
      <c r="CP355" s="203">
        <f t="shared" si="34"/>
        <v>3948940</v>
      </c>
      <c r="CQ355" s="203">
        <f t="shared" si="34"/>
        <v>3625816</v>
      </c>
      <c r="CR355" s="203">
        <f t="shared" si="34"/>
        <v>3648652</v>
      </c>
      <c r="CS355" s="203">
        <f t="shared" si="34"/>
        <v>3481552</v>
      </c>
      <c r="CT355" s="203">
        <f t="shared" si="34"/>
        <v>3305958</v>
      </c>
      <c r="CU355" s="203">
        <f t="shared" si="34"/>
        <v>3199058</v>
      </c>
      <c r="CV355" s="203">
        <f t="shared" si="34"/>
        <v>3213886</v>
      </c>
      <c r="CW355" s="203">
        <f t="shared" si="34"/>
        <v>3495201</v>
      </c>
      <c r="CX355" s="203">
        <f t="shared" si="34"/>
        <v>3517701</v>
      </c>
      <c r="CY355" s="203">
        <f t="shared" si="34"/>
        <v>3976328</v>
      </c>
      <c r="CZ355" s="203">
        <f t="shared" si="34"/>
        <v>4067244</v>
      </c>
      <c r="DA355" s="203">
        <f t="shared" si="34"/>
        <v>4627675</v>
      </c>
      <c r="DB355" s="203">
        <f t="shared" si="34"/>
        <v>4831111</v>
      </c>
      <c r="DC355" s="203">
        <f t="shared" si="34"/>
        <v>5167231</v>
      </c>
      <c r="DD355" s="203">
        <f t="shared" si="34"/>
        <v>4826498</v>
      </c>
      <c r="DE355" s="203">
        <f t="shared" si="34"/>
        <v>5091141</v>
      </c>
      <c r="DF355" s="203">
        <f t="shared" si="34"/>
        <v>5055297</v>
      </c>
      <c r="DG355" s="203">
        <f t="shared" si="34"/>
        <v>4813830</v>
      </c>
      <c r="DH355" s="203">
        <f t="shared" si="34"/>
        <v>4564522</v>
      </c>
      <c r="DI355" s="203">
        <f t="shared" si="34"/>
        <v>3923643</v>
      </c>
      <c r="DJ355" s="203">
        <f t="shared" si="34"/>
        <v>3951663</v>
      </c>
      <c r="DK355" s="203">
        <f t="shared" si="34"/>
        <v>3789150</v>
      </c>
      <c r="DL355" s="203">
        <f t="shared" si="34"/>
        <v>4212018</v>
      </c>
    </row>
    <row r="356" spans="90:116" ht="20.149999999999999" customHeight="1" x14ac:dyDescent="0.35">
      <c r="CL356" s="36" t="s">
        <v>717</v>
      </c>
      <c r="CM356" s="202">
        <v>0</v>
      </c>
      <c r="CN356" s="202">
        <v>0</v>
      </c>
      <c r="CO356" s="202">
        <v>0</v>
      </c>
      <c r="CP356" s="202">
        <v>0</v>
      </c>
      <c r="CQ356" s="202">
        <v>0</v>
      </c>
      <c r="CR356" s="202">
        <v>0</v>
      </c>
      <c r="CS356" s="202">
        <v>0</v>
      </c>
      <c r="CT356" s="202">
        <v>0</v>
      </c>
      <c r="CU356" s="202">
        <v>0</v>
      </c>
      <c r="CV356" s="202">
        <v>0</v>
      </c>
      <c r="CW356" s="202">
        <v>0</v>
      </c>
      <c r="CX356" s="202">
        <v>0</v>
      </c>
      <c r="CY356" s="202">
        <v>0</v>
      </c>
      <c r="CZ356" s="202">
        <v>0</v>
      </c>
      <c r="DA356" s="202">
        <v>0</v>
      </c>
      <c r="DB356" s="202">
        <v>0</v>
      </c>
      <c r="DC356" s="202">
        <v>0</v>
      </c>
      <c r="DD356" s="202">
        <v>0</v>
      </c>
      <c r="DE356" s="202">
        <v>0</v>
      </c>
      <c r="DF356" s="202">
        <v>0</v>
      </c>
      <c r="DG356" s="202">
        <v>0</v>
      </c>
      <c r="DH356" s="202">
        <v>0</v>
      </c>
      <c r="DI356" s="202">
        <v>0</v>
      </c>
      <c r="DJ356" s="202">
        <v>0</v>
      </c>
      <c r="DK356" s="202">
        <v>0</v>
      </c>
      <c r="DL356" s="202">
        <v>0</v>
      </c>
    </row>
    <row r="357" spans="90:116" ht="25" customHeight="1" x14ac:dyDescent="0.35">
      <c r="CL357" s="4" t="s">
        <v>686</v>
      </c>
      <c r="CM357" s="203">
        <f>IFERROR(SUM(CM355:CM356),0)</f>
        <v>3916359</v>
      </c>
      <c r="CN357" s="203">
        <f>IFERROR(SUM(CN355:CN356),0)</f>
        <v>3629097</v>
      </c>
      <c r="CO357" s="203">
        <f t="shared" ref="CO357:DL357" si="35">IFERROR(SUM(CO355:CO356),0)</f>
        <v>4020220</v>
      </c>
      <c r="CP357" s="203">
        <f t="shared" si="35"/>
        <v>3948940</v>
      </c>
      <c r="CQ357" s="203">
        <f t="shared" si="35"/>
        <v>3625816</v>
      </c>
      <c r="CR357" s="203">
        <f t="shared" si="35"/>
        <v>3648652</v>
      </c>
      <c r="CS357" s="203">
        <f t="shared" si="35"/>
        <v>3481552</v>
      </c>
      <c r="CT357" s="203">
        <f t="shared" si="35"/>
        <v>3305958</v>
      </c>
      <c r="CU357" s="203">
        <f t="shared" si="35"/>
        <v>3199058</v>
      </c>
      <c r="CV357" s="203">
        <f t="shared" si="35"/>
        <v>3213886</v>
      </c>
      <c r="CW357" s="203">
        <f t="shared" si="35"/>
        <v>3495201</v>
      </c>
      <c r="CX357" s="203">
        <f t="shared" si="35"/>
        <v>3517701</v>
      </c>
      <c r="CY357" s="203">
        <f t="shared" si="35"/>
        <v>3976328</v>
      </c>
      <c r="CZ357" s="203">
        <f t="shared" si="35"/>
        <v>4067244</v>
      </c>
      <c r="DA357" s="203">
        <f t="shared" si="35"/>
        <v>4627675</v>
      </c>
      <c r="DB357" s="203">
        <f t="shared" si="35"/>
        <v>4831111</v>
      </c>
      <c r="DC357" s="203">
        <f t="shared" si="35"/>
        <v>5167231</v>
      </c>
      <c r="DD357" s="203">
        <f t="shared" si="35"/>
        <v>4826498</v>
      </c>
      <c r="DE357" s="203">
        <f t="shared" si="35"/>
        <v>5091141</v>
      </c>
      <c r="DF357" s="203">
        <f t="shared" si="35"/>
        <v>5055297</v>
      </c>
      <c r="DG357" s="203">
        <f t="shared" si="35"/>
        <v>4813830</v>
      </c>
      <c r="DH357" s="203">
        <f t="shared" si="35"/>
        <v>4564522</v>
      </c>
      <c r="DI357" s="203">
        <f t="shared" si="35"/>
        <v>3923643</v>
      </c>
      <c r="DJ357" s="203">
        <f t="shared" si="35"/>
        <v>3951663</v>
      </c>
      <c r="DK357" s="203">
        <f t="shared" si="35"/>
        <v>3789150</v>
      </c>
      <c r="DL357" s="203">
        <f t="shared" si="35"/>
        <v>4212018</v>
      </c>
    </row>
    <row r="358" spans="90:116" ht="20.149999999999999" customHeight="1" x14ac:dyDescent="0.35">
      <c r="CL358" s="36" t="s">
        <v>718</v>
      </c>
      <c r="CM358" s="202">
        <v>3152736</v>
      </c>
      <c r="CN358" s="202">
        <v>2910455</v>
      </c>
      <c r="CO358" s="202">
        <v>2965030</v>
      </c>
      <c r="CP358" s="202">
        <v>2713953</v>
      </c>
      <c r="CQ358" s="202">
        <v>2726405</v>
      </c>
      <c r="CR358" s="202">
        <v>2448798</v>
      </c>
      <c r="CS358" s="202">
        <v>2307523</v>
      </c>
      <c r="CT358" s="202">
        <v>2054629</v>
      </c>
      <c r="CU358" s="202">
        <v>1914077</v>
      </c>
      <c r="CV358" s="202">
        <v>2229476</v>
      </c>
      <c r="CW358" s="202">
        <v>2661735</v>
      </c>
      <c r="CX358" s="202">
        <v>2500000</v>
      </c>
      <c r="CY358" s="202">
        <v>2661214</v>
      </c>
      <c r="CZ358" s="202">
        <v>2488264</v>
      </c>
      <c r="DA358" s="202">
        <v>3555717</v>
      </c>
      <c r="DB358" s="202">
        <v>2859640</v>
      </c>
      <c r="DC358" s="202">
        <v>2683740</v>
      </c>
      <c r="DD358" s="202">
        <v>2277146</v>
      </c>
      <c r="DE358" s="202">
        <v>4031514</v>
      </c>
      <c r="DF358" s="202">
        <v>3106070</v>
      </c>
      <c r="DG358" s="202">
        <v>2644747</v>
      </c>
      <c r="DH358" s="202">
        <v>2748059</v>
      </c>
      <c r="DI358" s="202">
        <v>4163787</v>
      </c>
      <c r="DJ358" s="202">
        <v>3183397</v>
      </c>
      <c r="DK358" s="202">
        <v>3433905</v>
      </c>
      <c r="DL358" s="202">
        <v>3256285</v>
      </c>
    </row>
    <row r="359" spans="90:116" ht="20.149999999999999" customHeight="1" x14ac:dyDescent="0.35">
      <c r="CL359" s="251" t="s">
        <v>719</v>
      </c>
      <c r="CM359" s="268">
        <v>0</v>
      </c>
      <c r="CN359" s="268">
        <v>0</v>
      </c>
      <c r="CO359" s="268">
        <v>0</v>
      </c>
      <c r="CP359" s="268">
        <v>0</v>
      </c>
      <c r="CQ359" s="268">
        <v>0</v>
      </c>
      <c r="CR359" s="268">
        <v>0</v>
      </c>
      <c r="CS359" s="268">
        <v>0</v>
      </c>
      <c r="CT359" s="268">
        <v>0</v>
      </c>
      <c r="CU359" s="268">
        <v>0</v>
      </c>
      <c r="CV359" s="268">
        <v>0</v>
      </c>
      <c r="CW359" s="268">
        <v>0</v>
      </c>
      <c r="CX359" s="268">
        <v>0</v>
      </c>
      <c r="CY359" s="268">
        <v>0</v>
      </c>
      <c r="CZ359" s="268">
        <v>0</v>
      </c>
      <c r="DA359" s="268">
        <v>0</v>
      </c>
      <c r="DB359" s="268">
        <v>0</v>
      </c>
      <c r="DC359" s="268">
        <v>0</v>
      </c>
      <c r="DD359" s="268">
        <v>0</v>
      </c>
      <c r="DE359" s="268">
        <v>0</v>
      </c>
      <c r="DF359" s="268">
        <v>0</v>
      </c>
      <c r="DG359" s="268">
        <v>0</v>
      </c>
      <c r="DH359" s="268">
        <v>0</v>
      </c>
      <c r="DI359" s="268">
        <v>0</v>
      </c>
      <c r="DJ359" s="268">
        <v>0</v>
      </c>
      <c r="DK359" s="268">
        <v>0</v>
      </c>
      <c r="DL359" s="268">
        <v>0</v>
      </c>
    </row>
    <row r="360" spans="90:116" ht="28" customHeight="1" x14ac:dyDescent="0.35">
      <c r="CL360" s="39" t="s">
        <v>143</v>
      </c>
      <c r="CM360" s="204">
        <f>IFERROR(SUM(CM357:CM359),0)</f>
        <v>7069095</v>
      </c>
      <c r="CN360" s="204">
        <f>IFERROR(SUM(CN357:CN359),0)</f>
        <v>6539552</v>
      </c>
      <c r="CO360" s="204">
        <f t="shared" ref="CO360:DL360" si="36">IFERROR(SUM(CO357:CO359),0)</f>
        <v>6985250</v>
      </c>
      <c r="CP360" s="204">
        <f t="shared" si="36"/>
        <v>6662893</v>
      </c>
      <c r="CQ360" s="204">
        <f t="shared" si="36"/>
        <v>6352221</v>
      </c>
      <c r="CR360" s="204">
        <f t="shared" si="36"/>
        <v>6097450</v>
      </c>
      <c r="CS360" s="204">
        <f t="shared" si="36"/>
        <v>5789075</v>
      </c>
      <c r="CT360" s="204">
        <f t="shared" si="36"/>
        <v>5360587</v>
      </c>
      <c r="CU360" s="204">
        <f t="shared" si="36"/>
        <v>5113135</v>
      </c>
      <c r="CV360" s="204">
        <f t="shared" si="36"/>
        <v>5443362</v>
      </c>
      <c r="CW360" s="204">
        <f t="shared" si="36"/>
        <v>6156936</v>
      </c>
      <c r="CX360" s="204">
        <f t="shared" si="36"/>
        <v>6017701</v>
      </c>
      <c r="CY360" s="204">
        <f t="shared" si="36"/>
        <v>6637542</v>
      </c>
      <c r="CZ360" s="204">
        <f t="shared" si="36"/>
        <v>6555508</v>
      </c>
      <c r="DA360" s="204">
        <f t="shared" si="36"/>
        <v>8183392</v>
      </c>
      <c r="DB360" s="204">
        <f t="shared" si="36"/>
        <v>7690751</v>
      </c>
      <c r="DC360" s="204">
        <f t="shared" si="36"/>
        <v>7850971</v>
      </c>
      <c r="DD360" s="204">
        <f t="shared" si="36"/>
        <v>7103644</v>
      </c>
      <c r="DE360" s="204">
        <f t="shared" si="36"/>
        <v>9122655</v>
      </c>
      <c r="DF360" s="204">
        <f t="shared" si="36"/>
        <v>8161367</v>
      </c>
      <c r="DG360" s="204">
        <f t="shared" si="36"/>
        <v>7458577</v>
      </c>
      <c r="DH360" s="204">
        <f t="shared" si="36"/>
        <v>7312581</v>
      </c>
      <c r="DI360" s="204">
        <f t="shared" si="36"/>
        <v>8087430</v>
      </c>
      <c r="DJ360" s="204">
        <f t="shared" si="36"/>
        <v>7135060</v>
      </c>
      <c r="DK360" s="204">
        <f t="shared" si="36"/>
        <v>7223055</v>
      </c>
      <c r="DL360" s="204">
        <f t="shared" si="36"/>
        <v>7468303</v>
      </c>
    </row>
    <row r="361" spans="90:116" ht="20.149999999999999" customHeight="1" x14ac:dyDescent="0.35"/>
    <row r="362" spans="90:116" ht="20.149999999999999" customHeight="1" x14ac:dyDescent="0.35"/>
    <row r="363" spans="90:116" ht="60" customHeight="1" x14ac:dyDescent="0.35">
      <c r="CL363" s="200" t="s">
        <v>720</v>
      </c>
      <c r="CM363" s="167" t="str">
        <f>CM266</f>
        <v>2T | 2026</v>
      </c>
      <c r="CN363" s="167" t="str">
        <f t="shared" ref="CN363:DL363" si="37">CN266</f>
        <v>1T | 2026</v>
      </c>
      <c r="CO363" s="167" t="str">
        <f t="shared" si="37"/>
        <v>4T | 2025</v>
      </c>
      <c r="CP363" s="167" t="str">
        <f t="shared" si="37"/>
        <v>3T | 2025</v>
      </c>
      <c r="CQ363" s="167" t="str">
        <f t="shared" si="37"/>
        <v>2T | 2025</v>
      </c>
      <c r="CR363" s="167" t="str">
        <f t="shared" si="37"/>
        <v>1T | 2025</v>
      </c>
      <c r="CS363" s="167" t="str">
        <f t="shared" si="37"/>
        <v>4T | 2024</v>
      </c>
      <c r="CT363" s="167" t="str">
        <f t="shared" si="37"/>
        <v>3T | 2024</v>
      </c>
      <c r="CU363" s="167" t="str">
        <f t="shared" si="37"/>
        <v>2T | 2024</v>
      </c>
      <c r="CV363" s="167" t="str">
        <f t="shared" si="37"/>
        <v>1T | 2024</v>
      </c>
      <c r="CW363" s="167" t="str">
        <f t="shared" si="37"/>
        <v>4T | 2023</v>
      </c>
      <c r="CX363" s="167" t="str">
        <f t="shared" si="37"/>
        <v>3T | 2023</v>
      </c>
      <c r="CY363" s="167" t="str">
        <f t="shared" si="37"/>
        <v>2T | 2023</v>
      </c>
      <c r="CZ363" s="167" t="str">
        <f t="shared" si="37"/>
        <v>1T | 2023</v>
      </c>
      <c r="DA363" s="167" t="str">
        <f t="shared" si="37"/>
        <v>4T | 2022</v>
      </c>
      <c r="DB363" s="167" t="str">
        <f t="shared" si="37"/>
        <v>3T | 2022</v>
      </c>
      <c r="DC363" s="167" t="str">
        <f t="shared" si="37"/>
        <v>2T | 2022</v>
      </c>
      <c r="DD363" s="167" t="str">
        <f t="shared" si="37"/>
        <v>1T | 2022</v>
      </c>
      <c r="DE363" s="167" t="str">
        <f t="shared" si="37"/>
        <v>4T | 2021</v>
      </c>
      <c r="DF363" s="167" t="str">
        <f t="shared" si="37"/>
        <v>3T | 2021</v>
      </c>
      <c r="DG363" s="167" t="str">
        <f t="shared" si="37"/>
        <v>2T | 2021</v>
      </c>
      <c r="DH363" s="167" t="str">
        <f t="shared" si="37"/>
        <v>1T | 2021</v>
      </c>
      <c r="DI363" s="167" t="str">
        <f t="shared" si="37"/>
        <v>4T | 2020</v>
      </c>
      <c r="DJ363" s="167" t="str">
        <f t="shared" si="37"/>
        <v>3T | 2020</v>
      </c>
      <c r="DK363" s="167" t="str">
        <f t="shared" si="37"/>
        <v>2T | 2020</v>
      </c>
      <c r="DL363" s="167" t="str">
        <f t="shared" si="37"/>
        <v>1T | 2020</v>
      </c>
    </row>
    <row r="364" spans="90:116" ht="20.149999999999999" customHeight="1" x14ac:dyDescent="0.35">
      <c r="CL364" s="49" t="s">
        <v>696</v>
      </c>
      <c r="CM364" s="50">
        <v>644899</v>
      </c>
      <c r="CN364" s="50">
        <v>572814</v>
      </c>
      <c r="CO364" s="50">
        <v>627754</v>
      </c>
      <c r="CP364" s="50">
        <v>617339</v>
      </c>
      <c r="CQ364" s="50">
        <v>603503</v>
      </c>
      <c r="CR364" s="50">
        <v>554204</v>
      </c>
      <c r="CS364" s="50">
        <v>628122</v>
      </c>
      <c r="CT364" s="50">
        <v>603389</v>
      </c>
      <c r="CU364" s="50">
        <v>564917</v>
      </c>
      <c r="CV364" s="50">
        <v>564173</v>
      </c>
      <c r="CW364" s="50">
        <v>677370</v>
      </c>
      <c r="CX364" s="50">
        <v>702716</v>
      </c>
      <c r="CY364" s="50">
        <v>793671</v>
      </c>
      <c r="CZ364" s="50">
        <v>889170</v>
      </c>
      <c r="DA364" s="50">
        <v>1020154</v>
      </c>
      <c r="DB364" s="50">
        <v>1094518</v>
      </c>
      <c r="DC364" s="50">
        <v>1112163</v>
      </c>
      <c r="DD364" s="50">
        <v>1002414</v>
      </c>
      <c r="DE364" s="50">
        <v>1035325</v>
      </c>
      <c r="DF364" s="50">
        <v>1040722</v>
      </c>
      <c r="DG364" s="50">
        <v>960627</v>
      </c>
      <c r="DH364" s="50">
        <v>895726</v>
      </c>
      <c r="DI364" s="50">
        <v>831677</v>
      </c>
      <c r="DJ364" s="50">
        <v>744975</v>
      </c>
      <c r="DK364" s="50">
        <v>647609</v>
      </c>
      <c r="DL364" s="50">
        <v>719830</v>
      </c>
    </row>
    <row r="365" spans="90:116" ht="20.149999999999999" customHeight="1" x14ac:dyDescent="0.35">
      <c r="CL365" s="36" t="s">
        <v>715</v>
      </c>
      <c r="CM365" s="202">
        <v>289365</v>
      </c>
      <c r="CN365" s="202">
        <v>289450</v>
      </c>
      <c r="CO365" s="202">
        <v>280547</v>
      </c>
      <c r="CP365" s="202">
        <v>295548</v>
      </c>
      <c r="CQ365" s="202">
        <v>277148</v>
      </c>
      <c r="CR365" s="202">
        <v>269975</v>
      </c>
      <c r="CS365" s="202">
        <v>227706</v>
      </c>
      <c r="CT365" s="202">
        <v>219446</v>
      </c>
      <c r="CU365" s="202">
        <v>225788</v>
      </c>
      <c r="CV365" s="202">
        <v>260830</v>
      </c>
      <c r="CW365" s="202">
        <v>231621</v>
      </c>
      <c r="CX365" s="202">
        <v>252759</v>
      </c>
      <c r="CY365" s="202">
        <v>261999</v>
      </c>
      <c r="CZ365" s="202">
        <v>246665</v>
      </c>
      <c r="DA365" s="202">
        <v>257728</v>
      </c>
      <c r="DB365" s="202">
        <v>254045</v>
      </c>
      <c r="DC365" s="202">
        <v>276917</v>
      </c>
      <c r="DD365" s="202">
        <v>262023</v>
      </c>
      <c r="DE365" s="202">
        <v>243901</v>
      </c>
      <c r="DF365" s="202">
        <v>222394</v>
      </c>
      <c r="DG365" s="202">
        <v>221144</v>
      </c>
      <c r="DH365" s="202">
        <v>213782</v>
      </c>
      <c r="DI365" s="202">
        <v>216691</v>
      </c>
      <c r="DJ365" s="202">
        <v>209959</v>
      </c>
      <c r="DK365" s="202">
        <v>233236</v>
      </c>
      <c r="DL365" s="202">
        <v>245041</v>
      </c>
    </row>
    <row r="366" spans="90:116" ht="20.149999999999999" customHeight="1" x14ac:dyDescent="0.35">
      <c r="CL366" s="36" t="s">
        <v>700</v>
      </c>
      <c r="CM366" s="202">
        <v>11296</v>
      </c>
      <c r="CN366" s="202">
        <v>9384</v>
      </c>
      <c r="CO366" s="202">
        <v>6940</v>
      </c>
      <c r="CP366" s="202">
        <v>6994</v>
      </c>
      <c r="CQ366" s="202">
        <v>6807</v>
      </c>
      <c r="CR366" s="202">
        <v>5546</v>
      </c>
      <c r="CS366" s="202">
        <v>4083</v>
      </c>
      <c r="CT366" s="202">
        <v>2989</v>
      </c>
      <c r="CU366" s="202">
        <v>2659</v>
      </c>
      <c r="CV366" s="202">
        <v>1883</v>
      </c>
      <c r="CW366" s="202">
        <v>1461</v>
      </c>
      <c r="CX366" s="202">
        <v>1469</v>
      </c>
      <c r="CY366" s="202">
        <v>1240</v>
      </c>
      <c r="CZ366" s="202">
        <v>1022</v>
      </c>
      <c r="DA366" s="202">
        <v>1025</v>
      </c>
      <c r="DB366" s="202">
        <v>1204</v>
      </c>
      <c r="DC366" s="202">
        <v>1317</v>
      </c>
      <c r="DD366" s="202">
        <v>1110</v>
      </c>
      <c r="DE366" s="202">
        <v>1322</v>
      </c>
      <c r="DF366" s="202">
        <v>1677</v>
      </c>
      <c r="DG366" s="202">
        <v>3733</v>
      </c>
      <c r="DH366" s="202">
        <v>1865</v>
      </c>
      <c r="DI366" s="202">
        <v>1212</v>
      </c>
      <c r="DJ366" s="202">
        <v>1239</v>
      </c>
      <c r="DK366" s="202">
        <v>1183</v>
      </c>
      <c r="DL366" s="202">
        <v>943</v>
      </c>
    </row>
    <row r="367" spans="90:116" ht="20.149999999999999" customHeight="1" x14ac:dyDescent="0.35">
      <c r="CL367" s="36" t="s">
        <v>716</v>
      </c>
      <c r="CM367" s="202">
        <v>14935</v>
      </c>
      <c r="CN367" s="202">
        <v>10286</v>
      </c>
      <c r="CO367" s="202">
        <v>272083</v>
      </c>
      <c r="CP367" s="202">
        <v>231541</v>
      </c>
      <c r="CQ367" s="202">
        <v>1012</v>
      </c>
      <c r="CR367" s="202">
        <v>227803</v>
      </c>
      <c r="CS367" s="202">
        <v>261667</v>
      </c>
      <c r="CT367" s="202">
        <v>219664</v>
      </c>
      <c r="CU367" s="202">
        <v>232496</v>
      </c>
      <c r="CV367" s="202">
        <v>223285</v>
      </c>
      <c r="CW367" s="202">
        <v>243756</v>
      </c>
      <c r="CX367" s="202">
        <v>190624</v>
      </c>
      <c r="CY367" s="202">
        <v>186873</v>
      </c>
      <c r="CZ367" s="202">
        <v>164544</v>
      </c>
      <c r="DA367" s="202">
        <v>160136</v>
      </c>
      <c r="DB367" s="202">
        <v>144977</v>
      </c>
      <c r="DC367" s="202">
        <v>176026</v>
      </c>
      <c r="DD367" s="202">
        <v>179314</v>
      </c>
      <c r="DE367" s="202">
        <v>177605</v>
      </c>
      <c r="DF367" s="202">
        <v>140233</v>
      </c>
      <c r="DG367" s="202">
        <v>128263</v>
      </c>
      <c r="DH367" s="202">
        <v>137104</v>
      </c>
      <c r="DI367" s="202">
        <v>130112</v>
      </c>
      <c r="DJ367" s="202">
        <v>112958</v>
      </c>
      <c r="DK367" s="202">
        <v>121381</v>
      </c>
      <c r="DL367" s="202">
        <v>157868</v>
      </c>
    </row>
    <row r="368" spans="90:116" ht="25" customHeight="1" x14ac:dyDescent="0.35">
      <c r="CL368" s="4" t="s">
        <v>686</v>
      </c>
      <c r="CM368" s="203">
        <f>IFERROR(SUM(CM364:CM367),0)</f>
        <v>960495</v>
      </c>
      <c r="CN368" s="203">
        <f>IFERROR(SUM(CN364:CN367),0)</f>
        <v>881934</v>
      </c>
      <c r="CO368" s="203">
        <f t="shared" ref="CO368:DL368" si="38">IFERROR(SUM(CO364:CO367),0)</f>
        <v>1187324</v>
      </c>
      <c r="CP368" s="203">
        <f t="shared" si="38"/>
        <v>1151422</v>
      </c>
      <c r="CQ368" s="203">
        <f t="shared" si="38"/>
        <v>888470</v>
      </c>
      <c r="CR368" s="203">
        <f t="shared" si="38"/>
        <v>1057528</v>
      </c>
      <c r="CS368" s="203">
        <f t="shared" si="38"/>
        <v>1121578</v>
      </c>
      <c r="CT368" s="203">
        <f t="shared" si="38"/>
        <v>1045488</v>
      </c>
      <c r="CU368" s="203">
        <f t="shared" si="38"/>
        <v>1025860</v>
      </c>
      <c r="CV368" s="203">
        <f t="shared" si="38"/>
        <v>1050171</v>
      </c>
      <c r="CW368" s="203">
        <f t="shared" si="38"/>
        <v>1154208</v>
      </c>
      <c r="CX368" s="203">
        <f t="shared" si="38"/>
        <v>1147568</v>
      </c>
      <c r="CY368" s="203">
        <f t="shared" si="38"/>
        <v>1243783</v>
      </c>
      <c r="CZ368" s="203">
        <f t="shared" si="38"/>
        <v>1301401</v>
      </c>
      <c r="DA368" s="203">
        <f t="shared" si="38"/>
        <v>1439043</v>
      </c>
      <c r="DB368" s="203">
        <f t="shared" si="38"/>
        <v>1494744</v>
      </c>
      <c r="DC368" s="203">
        <f t="shared" si="38"/>
        <v>1566423</v>
      </c>
      <c r="DD368" s="203">
        <f t="shared" si="38"/>
        <v>1444861</v>
      </c>
      <c r="DE368" s="203">
        <f t="shared" si="38"/>
        <v>1458153</v>
      </c>
      <c r="DF368" s="203">
        <f t="shared" si="38"/>
        <v>1405026</v>
      </c>
      <c r="DG368" s="203">
        <f t="shared" si="38"/>
        <v>1313767</v>
      </c>
      <c r="DH368" s="203">
        <f t="shared" si="38"/>
        <v>1248477</v>
      </c>
      <c r="DI368" s="203">
        <f t="shared" si="38"/>
        <v>1179692</v>
      </c>
      <c r="DJ368" s="203">
        <f t="shared" si="38"/>
        <v>1069131</v>
      </c>
      <c r="DK368" s="203">
        <f t="shared" si="38"/>
        <v>1003409</v>
      </c>
      <c r="DL368" s="203">
        <f t="shared" si="38"/>
        <v>1123682</v>
      </c>
    </row>
    <row r="369" spans="90:116" ht="20.149999999999999" customHeight="1" x14ac:dyDescent="0.35">
      <c r="CL369" s="36" t="s">
        <v>717</v>
      </c>
      <c r="CM369" s="202">
        <v>-24238</v>
      </c>
      <c r="CN369" s="202">
        <v>43235</v>
      </c>
      <c r="CO369" s="202">
        <v>-59204</v>
      </c>
      <c r="CP369" s="202">
        <v>32523</v>
      </c>
      <c r="CQ369" s="202">
        <v>3093</v>
      </c>
      <c r="CR369" s="202">
        <v>38794</v>
      </c>
      <c r="CS369" s="202">
        <v>-12407</v>
      </c>
      <c r="CT369" s="202">
        <v>72852</v>
      </c>
      <c r="CU369" s="202">
        <v>-16867</v>
      </c>
      <c r="CV369" s="202">
        <v>-89409</v>
      </c>
      <c r="CW369" s="202">
        <v>1794</v>
      </c>
      <c r="CX369" s="202">
        <v>22133</v>
      </c>
      <c r="CY369" s="202">
        <v>-49233</v>
      </c>
      <c r="CZ369" s="202">
        <v>-31694</v>
      </c>
      <c r="DA369" s="202">
        <v>12058</v>
      </c>
      <c r="DB369" s="202">
        <v>-30124</v>
      </c>
      <c r="DC369" s="202">
        <v>-20177</v>
      </c>
      <c r="DD369" s="202">
        <v>99995</v>
      </c>
      <c r="DE369" s="202">
        <v>-30324</v>
      </c>
      <c r="DF369" s="202">
        <v>29728</v>
      </c>
      <c r="DG369" s="202">
        <v>-30384</v>
      </c>
      <c r="DH369" s="202">
        <v>90550</v>
      </c>
      <c r="DI369" s="202">
        <v>237</v>
      </c>
      <c r="DJ369" s="202">
        <v>44653</v>
      </c>
      <c r="DK369" s="202">
        <v>-45190</v>
      </c>
      <c r="DL369" s="202">
        <v>-3954</v>
      </c>
    </row>
    <row r="370" spans="90:116" ht="25" customHeight="1" x14ac:dyDescent="0.35">
      <c r="CL370" s="4" t="s">
        <v>686</v>
      </c>
      <c r="CM370" s="203">
        <f>IFERROR(SUM(CM368:CM369),0)</f>
        <v>936257</v>
      </c>
      <c r="CN370" s="203">
        <f>IFERROR(SUM(CN368:CN369),0)</f>
        <v>925169</v>
      </c>
      <c r="CO370" s="203">
        <f t="shared" ref="CO370:DL370" si="39">IFERROR(SUM(CO368:CO369),0)</f>
        <v>1128120</v>
      </c>
      <c r="CP370" s="203">
        <f t="shared" si="39"/>
        <v>1183945</v>
      </c>
      <c r="CQ370" s="203">
        <f t="shared" si="39"/>
        <v>891563</v>
      </c>
      <c r="CR370" s="203">
        <f t="shared" si="39"/>
        <v>1096322</v>
      </c>
      <c r="CS370" s="203">
        <f t="shared" si="39"/>
        <v>1109171</v>
      </c>
      <c r="CT370" s="203">
        <f t="shared" si="39"/>
        <v>1118340</v>
      </c>
      <c r="CU370" s="203">
        <f t="shared" si="39"/>
        <v>1008993</v>
      </c>
      <c r="CV370" s="203">
        <f t="shared" si="39"/>
        <v>960762</v>
      </c>
      <c r="CW370" s="203">
        <f t="shared" si="39"/>
        <v>1156002</v>
      </c>
      <c r="CX370" s="203">
        <f t="shared" si="39"/>
        <v>1169701</v>
      </c>
      <c r="CY370" s="203">
        <f t="shared" si="39"/>
        <v>1194550</v>
      </c>
      <c r="CZ370" s="203">
        <f t="shared" si="39"/>
        <v>1269707</v>
      </c>
      <c r="DA370" s="203">
        <f t="shared" si="39"/>
        <v>1451101</v>
      </c>
      <c r="DB370" s="203">
        <f t="shared" si="39"/>
        <v>1464620</v>
      </c>
      <c r="DC370" s="203">
        <f t="shared" si="39"/>
        <v>1546246</v>
      </c>
      <c r="DD370" s="203">
        <f t="shared" si="39"/>
        <v>1544856</v>
      </c>
      <c r="DE370" s="203">
        <f t="shared" si="39"/>
        <v>1427829</v>
      </c>
      <c r="DF370" s="203">
        <f t="shared" si="39"/>
        <v>1434754</v>
      </c>
      <c r="DG370" s="203">
        <f t="shared" si="39"/>
        <v>1283383</v>
      </c>
      <c r="DH370" s="203">
        <f t="shared" si="39"/>
        <v>1339027</v>
      </c>
      <c r="DI370" s="203">
        <f t="shared" si="39"/>
        <v>1179929</v>
      </c>
      <c r="DJ370" s="203">
        <f t="shared" si="39"/>
        <v>1113784</v>
      </c>
      <c r="DK370" s="203">
        <f t="shared" si="39"/>
        <v>958219</v>
      </c>
      <c r="DL370" s="203">
        <f t="shared" si="39"/>
        <v>1119728</v>
      </c>
    </row>
    <row r="371" spans="90:116" ht="20.149999999999999" customHeight="1" x14ac:dyDescent="0.35">
      <c r="CL371" s="36" t="s">
        <v>718</v>
      </c>
      <c r="CM371" s="202">
        <v>756430</v>
      </c>
      <c r="CN371" s="202">
        <v>663466</v>
      </c>
      <c r="CO371" s="202">
        <v>654696</v>
      </c>
      <c r="CP371" s="202">
        <v>595695</v>
      </c>
      <c r="CQ371" s="202">
        <v>566755</v>
      </c>
      <c r="CR371" s="202">
        <v>527124</v>
      </c>
      <c r="CS371" s="202">
        <v>543066</v>
      </c>
      <c r="CT371" s="202">
        <v>483411</v>
      </c>
      <c r="CU371" s="202">
        <v>417071</v>
      </c>
      <c r="CV371" s="202">
        <v>460653</v>
      </c>
      <c r="CW371" s="202">
        <v>614524</v>
      </c>
      <c r="CX371" s="202">
        <v>495239</v>
      </c>
      <c r="CY371" s="202">
        <v>534174</v>
      </c>
      <c r="CZ371" s="202">
        <v>505322</v>
      </c>
      <c r="DA371" s="202">
        <v>567186</v>
      </c>
      <c r="DB371" s="202">
        <v>535183</v>
      </c>
      <c r="DC371" s="202">
        <v>540722</v>
      </c>
      <c r="DD371" s="202">
        <v>647906</v>
      </c>
      <c r="DE371" s="202">
        <v>689827</v>
      </c>
      <c r="DF371" s="202">
        <v>777773</v>
      </c>
      <c r="DG371" s="202">
        <v>672569</v>
      </c>
      <c r="DH371" s="202">
        <v>769238</v>
      </c>
      <c r="DI371" s="202">
        <v>974136</v>
      </c>
      <c r="DJ371" s="202">
        <v>836887</v>
      </c>
      <c r="DK371" s="202">
        <v>745261</v>
      </c>
      <c r="DL371" s="202">
        <v>880793</v>
      </c>
    </row>
    <row r="372" spans="90:116" ht="20.149999999999999" customHeight="1" x14ac:dyDescent="0.35">
      <c r="CL372" s="251" t="s">
        <v>719</v>
      </c>
      <c r="CM372" s="268">
        <v>61960</v>
      </c>
      <c r="CN372" s="268">
        <v>23665</v>
      </c>
      <c r="CO372" s="268">
        <v>31615</v>
      </c>
      <c r="CP372" s="268">
        <v>23681</v>
      </c>
      <c r="CQ372" s="268">
        <v>-11492</v>
      </c>
      <c r="CR372" s="268">
        <v>10214</v>
      </c>
      <c r="CS372" s="268">
        <v>-605</v>
      </c>
      <c r="CT372" s="268">
        <v>18280</v>
      </c>
      <c r="CU372" s="268">
        <v>-8434</v>
      </c>
      <c r="CV372" s="268">
        <v>-32030</v>
      </c>
      <c r="CW372" s="268">
        <v>26619</v>
      </c>
      <c r="CX372" s="268">
        <v>52838</v>
      </c>
      <c r="CY372" s="268">
        <v>-12759</v>
      </c>
      <c r="CZ372" s="268">
        <v>-29625</v>
      </c>
      <c r="DA372" s="268">
        <v>-3649</v>
      </c>
      <c r="DB372" s="268">
        <v>17279</v>
      </c>
      <c r="DC372" s="268">
        <v>-26006</v>
      </c>
      <c r="DD372" s="268">
        <v>4067</v>
      </c>
      <c r="DE372" s="268">
        <v>-119217</v>
      </c>
      <c r="DF372" s="268">
        <v>70331</v>
      </c>
      <c r="DG372" s="268">
        <v>-18048</v>
      </c>
      <c r="DH372" s="268">
        <v>-73719</v>
      </c>
      <c r="DI372" s="268">
        <v>-54104</v>
      </c>
      <c r="DJ372" s="268">
        <v>89540</v>
      </c>
      <c r="DK372" s="268">
        <v>-33550</v>
      </c>
      <c r="DL372" s="268">
        <v>49181</v>
      </c>
    </row>
    <row r="373" spans="90:116" ht="28" customHeight="1" x14ac:dyDescent="0.35">
      <c r="CL373" s="39" t="s">
        <v>143</v>
      </c>
      <c r="CM373" s="204">
        <f>IFERROR(SUM(CM370:CM372),0)</f>
        <v>1754647</v>
      </c>
      <c r="CN373" s="204">
        <f>IFERROR(SUM(CN370:CN372),0)</f>
        <v>1612300</v>
      </c>
      <c r="CO373" s="204">
        <f t="shared" ref="CO373:DL373" si="40">IFERROR(SUM(CO370:CO372),0)</f>
        <v>1814431</v>
      </c>
      <c r="CP373" s="204">
        <f t="shared" si="40"/>
        <v>1803321</v>
      </c>
      <c r="CQ373" s="204">
        <f>IFERROR(SUM(CQ370:CQ372),0)</f>
        <v>1446826</v>
      </c>
      <c r="CR373" s="204">
        <f t="shared" si="40"/>
        <v>1633660</v>
      </c>
      <c r="CS373" s="204">
        <f t="shared" si="40"/>
        <v>1651632</v>
      </c>
      <c r="CT373" s="204">
        <f t="shared" si="40"/>
        <v>1620031</v>
      </c>
      <c r="CU373" s="204">
        <f t="shared" si="40"/>
        <v>1417630</v>
      </c>
      <c r="CV373" s="204">
        <f t="shared" si="40"/>
        <v>1389385</v>
      </c>
      <c r="CW373" s="204">
        <f t="shared" si="40"/>
        <v>1797145</v>
      </c>
      <c r="CX373" s="204">
        <f t="shared" si="40"/>
        <v>1717778</v>
      </c>
      <c r="CY373" s="204">
        <f t="shared" si="40"/>
        <v>1715965</v>
      </c>
      <c r="CZ373" s="204">
        <f t="shared" si="40"/>
        <v>1745404</v>
      </c>
      <c r="DA373" s="204">
        <f t="shared" si="40"/>
        <v>2014638</v>
      </c>
      <c r="DB373" s="204">
        <f t="shared" si="40"/>
        <v>2017082</v>
      </c>
      <c r="DC373" s="204">
        <f t="shared" si="40"/>
        <v>2060962</v>
      </c>
      <c r="DD373" s="204">
        <f t="shared" si="40"/>
        <v>2196829</v>
      </c>
      <c r="DE373" s="204">
        <f t="shared" si="40"/>
        <v>1998439</v>
      </c>
      <c r="DF373" s="204">
        <f t="shared" si="40"/>
        <v>2282858</v>
      </c>
      <c r="DG373" s="204">
        <f t="shared" si="40"/>
        <v>1937904</v>
      </c>
      <c r="DH373" s="204">
        <f t="shared" si="40"/>
        <v>2034546</v>
      </c>
      <c r="DI373" s="204">
        <f t="shared" si="40"/>
        <v>2099961</v>
      </c>
      <c r="DJ373" s="204">
        <f t="shared" si="40"/>
        <v>2040211</v>
      </c>
      <c r="DK373" s="204">
        <f t="shared" si="40"/>
        <v>1669930</v>
      </c>
      <c r="DL373" s="204">
        <f t="shared" si="40"/>
        <v>2049702</v>
      </c>
    </row>
    <row r="2022" spans="2:11" ht="50.15" customHeight="1" x14ac:dyDescent="0.35">
      <c r="B2022" s="517" t="s">
        <v>673</v>
      </c>
      <c r="C2022" s="517"/>
      <c r="D2022" s="517"/>
      <c r="E2022" s="517"/>
      <c r="F2022" s="152"/>
      <c r="G2022" s="152"/>
      <c r="H2022" s="152"/>
      <c r="I2022" s="152"/>
      <c r="J2022" s="152"/>
      <c r="K2022" s="152"/>
    </row>
    <row r="2023" spans="2:11" ht="10" customHeight="1" x14ac:dyDescent="0.35">
      <c r="B2023" s="29"/>
      <c r="C2023" s="29"/>
      <c r="D2023" s="29"/>
      <c r="E2023" s="29"/>
      <c r="F2023" s="29"/>
      <c r="G2023" s="29"/>
      <c r="H2023" s="29"/>
      <c r="I2023" s="29"/>
      <c r="J2023" s="29"/>
      <c r="K2023" s="29"/>
    </row>
    <row r="2024" spans="2:11" ht="35.15" customHeight="1" x14ac:dyDescent="0.35">
      <c r="B2024" s="518" t="s">
        <v>721</v>
      </c>
      <c r="C2024" s="520" t="s">
        <v>675</v>
      </c>
      <c r="D2024" s="520"/>
      <c r="E2024" s="520"/>
      <c r="F2024" s="206"/>
      <c r="G2024" s="396"/>
      <c r="H2024" s="206"/>
      <c r="I2024" s="206"/>
      <c r="J2024" s="206"/>
      <c r="K2024" s="396"/>
    </row>
    <row r="2025" spans="2:11" ht="35.15" customHeight="1" x14ac:dyDescent="0.35">
      <c r="B2025" s="519"/>
      <c r="C2025" s="144" t="s">
        <v>26</v>
      </c>
      <c r="D2025" s="144" t="s">
        <v>28</v>
      </c>
      <c r="E2025" s="146" t="s">
        <v>678</v>
      </c>
      <c r="F2025" s="207"/>
      <c r="G2025" s="206"/>
      <c r="H2025" s="207"/>
      <c r="I2025" s="207"/>
      <c r="J2025" s="397"/>
      <c r="K2025" s="372"/>
    </row>
    <row r="2026" spans="2:11" ht="25" customHeight="1" x14ac:dyDescent="0.35">
      <c r="B2026" s="17" t="s">
        <v>695</v>
      </c>
      <c r="C2026" s="354">
        <v>3256833.85899552</v>
      </c>
      <c r="D2026" s="413">
        <v>3170398.8541999999</v>
      </c>
      <c r="E2026" s="358">
        <f>IFERROR(((C2026/D2026)-1)*100,"")</f>
        <v>2.7263132738335027</v>
      </c>
      <c r="F2026" s="373"/>
      <c r="G2026" s="374"/>
      <c r="H2026" s="375"/>
      <c r="I2026" s="376"/>
      <c r="J2026" s="376"/>
      <c r="K2026" s="375"/>
    </row>
    <row r="2027" spans="2:11" ht="25" customHeight="1" x14ac:dyDescent="0.35">
      <c r="B2027" s="159" t="s">
        <v>696</v>
      </c>
      <c r="C2027" s="261">
        <f>IFERROR(SUM(C2028:C2029),0)</f>
        <v>5315913.1546569997</v>
      </c>
      <c r="D2027" s="261">
        <f>IFERROR(SUM(D2028:D2029),0)</f>
        <v>5483215.3006199999</v>
      </c>
      <c r="E2027" s="262">
        <f t="shared" ref="E2027:E2043" si="41">IFERROR(((C2027/D2027)-1)*100,"")</f>
        <v>-3.0511686445010233</v>
      </c>
      <c r="F2027" s="373"/>
      <c r="G2027" s="374"/>
      <c r="H2027" s="375"/>
      <c r="I2027" s="376"/>
      <c r="J2027" s="376"/>
      <c r="K2027" s="375"/>
    </row>
    <row r="2028" spans="2:11" ht="20.149999999999999" customHeight="1" x14ac:dyDescent="0.35">
      <c r="B2028" s="36" t="s">
        <v>697</v>
      </c>
      <c r="C2028" s="256">
        <v>131038.15465699996</v>
      </c>
      <c r="D2028" s="256">
        <v>179076.66362000001</v>
      </c>
      <c r="E2028" s="257">
        <f>IFERROR(((C2028/D2028)-1)*100,"")</f>
        <v>-26.825666723910814</v>
      </c>
      <c r="F2028" s="373"/>
      <c r="G2028" s="374"/>
      <c r="H2028" s="375"/>
      <c r="I2028" s="376"/>
      <c r="J2028" s="376"/>
      <c r="K2028" s="375"/>
    </row>
    <row r="2029" spans="2:11" ht="20.149999999999999" customHeight="1" x14ac:dyDescent="0.35">
      <c r="B2029" s="36" t="s">
        <v>698</v>
      </c>
      <c r="C2029" s="256">
        <v>5184875</v>
      </c>
      <c r="D2029" s="256">
        <v>5304138.6370000001</v>
      </c>
      <c r="E2029" s="257">
        <f>IFERROR(((C2029/D2029)-1)*100,"")</f>
        <v>-2.2485015034873768</v>
      </c>
      <c r="F2029" s="373"/>
      <c r="G2029" s="374"/>
      <c r="H2029" s="375"/>
      <c r="I2029" s="376"/>
      <c r="J2029" s="376"/>
      <c r="K2029" s="375"/>
    </row>
    <row r="2030" spans="2:11" ht="25" customHeight="1" x14ac:dyDescent="0.35">
      <c r="B2030" s="4" t="s">
        <v>699</v>
      </c>
      <c r="C2030" s="261">
        <f>IFERROR(SUM(C2031:C2032),0)</f>
        <v>1506841.4091379952</v>
      </c>
      <c r="D2030" s="261">
        <f>IFERROR(SUM(D2031:D2032),0)</f>
        <v>1521024.3996000001</v>
      </c>
      <c r="E2030" s="262">
        <f t="shared" si="41"/>
        <v>-0.93246304699219351</v>
      </c>
      <c r="F2030" s="373"/>
      <c r="G2030" s="374"/>
      <c r="H2030" s="375"/>
      <c r="I2030" s="376"/>
      <c r="J2030" s="376"/>
      <c r="K2030" s="375"/>
    </row>
    <row r="2031" spans="2:11" ht="20.149999999999999" customHeight="1" x14ac:dyDescent="0.35">
      <c r="B2031" s="36" t="s">
        <v>697</v>
      </c>
      <c r="C2031" s="256">
        <v>776963.40913799522</v>
      </c>
      <c r="D2031" s="256">
        <v>855644.82260000007</v>
      </c>
      <c r="E2031" s="257">
        <f>IFERROR(((C2031/D2031)-1)*100,"")</f>
        <v>-9.1955693979331343</v>
      </c>
      <c r="F2031" s="373"/>
      <c r="G2031" s="374"/>
      <c r="H2031" s="375"/>
      <c r="I2031" s="376"/>
      <c r="J2031" s="376"/>
      <c r="K2031" s="375"/>
    </row>
    <row r="2032" spans="2:11" ht="20.149999999999999" customHeight="1" x14ac:dyDescent="0.35">
      <c r="B2032" s="36" t="s">
        <v>698</v>
      </c>
      <c r="C2032" s="256">
        <v>729878</v>
      </c>
      <c r="D2032" s="256">
        <v>665379.57700000005</v>
      </c>
      <c r="E2032" s="257">
        <f>IFERROR(((C2032/D2032)-1)*100,"")</f>
        <v>9.6934780130770282</v>
      </c>
      <c r="F2032" s="373"/>
      <c r="G2032" s="374"/>
      <c r="H2032" s="375"/>
      <c r="I2032" s="376"/>
      <c r="J2032" s="376"/>
      <c r="K2032" s="375"/>
    </row>
    <row r="2033" spans="2:11" ht="25" customHeight="1" x14ac:dyDescent="0.35">
      <c r="B2033" s="4" t="s">
        <v>700</v>
      </c>
      <c r="C2033" s="261">
        <f>IFERROR(SUM(C2034:C2035),0)</f>
        <v>692531.16443599982</v>
      </c>
      <c r="D2033" s="261">
        <f>IFERROR(SUM(D2034:D2035),0)</f>
        <v>778749.43328</v>
      </c>
      <c r="E2033" s="262">
        <f t="shared" si="41"/>
        <v>-11.07137484272176</v>
      </c>
      <c r="F2033" s="373"/>
      <c r="G2033" s="374"/>
      <c r="H2033" s="375"/>
      <c r="I2033" s="376"/>
      <c r="J2033" s="376"/>
      <c r="K2033" s="375"/>
    </row>
    <row r="2034" spans="2:11" ht="20.149999999999999" customHeight="1" x14ac:dyDescent="0.35">
      <c r="B2034" s="36" t="s">
        <v>697</v>
      </c>
      <c r="C2034" s="256">
        <v>653346.16443599982</v>
      </c>
      <c r="D2034" s="256">
        <v>745410.27228000003</v>
      </c>
      <c r="E2034" s="257">
        <f>IFERROR(((C2034/D2034)-1)*100,"")</f>
        <v>-12.350796771609019</v>
      </c>
      <c r="F2034" s="373"/>
      <c r="G2034" s="374"/>
      <c r="H2034" s="375"/>
      <c r="I2034" s="376"/>
      <c r="J2034" s="376"/>
      <c r="K2034" s="375"/>
    </row>
    <row r="2035" spans="2:11" ht="20.149999999999999" customHeight="1" x14ac:dyDescent="0.35">
      <c r="B2035" s="36" t="s">
        <v>698</v>
      </c>
      <c r="C2035" s="256">
        <v>39185</v>
      </c>
      <c r="D2035" s="256">
        <v>33339.161</v>
      </c>
      <c r="E2035" s="257">
        <f>IFERROR(((C2035/D2035)-1)*100,"")</f>
        <v>17.534451451852661</v>
      </c>
      <c r="F2035" s="373"/>
      <c r="G2035" s="374"/>
      <c r="H2035" s="375"/>
      <c r="I2035" s="376"/>
      <c r="J2035" s="376"/>
      <c r="K2035" s="375"/>
    </row>
    <row r="2036" spans="2:11" ht="25" customHeight="1" x14ac:dyDescent="0.35">
      <c r="B2036" s="4" t="s">
        <v>701</v>
      </c>
      <c r="C2036" s="261">
        <f>IFERROR(SUM(C2037:C2038),0)</f>
        <v>781395.60730100074</v>
      </c>
      <c r="D2036" s="261">
        <f>IFERROR(SUM(D2037:D2038),0)</f>
        <v>792114.49924499996</v>
      </c>
      <c r="E2036" s="262">
        <f t="shared" si="41"/>
        <v>-1.3531998157104708</v>
      </c>
      <c r="F2036" s="377"/>
      <c r="G2036" s="377"/>
      <c r="H2036" s="378"/>
      <c r="I2036" s="379"/>
      <c r="J2036" s="379"/>
      <c r="K2036" s="378"/>
    </row>
    <row r="2037" spans="2:11" ht="20.149999999999999" customHeight="1" x14ac:dyDescent="0.35">
      <c r="B2037" s="36" t="s">
        <v>697</v>
      </c>
      <c r="C2037" s="256">
        <v>502686.60730100074</v>
      </c>
      <c r="D2037" s="256">
        <v>585326.52924499998</v>
      </c>
      <c r="E2037" s="257">
        <f>IFERROR(((C2037/D2037)-1)*100,"")</f>
        <v>-14.118601808565668</v>
      </c>
      <c r="F2037" s="373"/>
      <c r="G2037" s="374"/>
      <c r="H2037" s="375"/>
      <c r="I2037" s="380"/>
      <c r="J2037" s="380"/>
      <c r="K2037" s="380"/>
    </row>
    <row r="2038" spans="2:11" ht="20.149999999999999" customHeight="1" x14ac:dyDescent="0.35">
      <c r="B2038" s="36" t="s">
        <v>698</v>
      </c>
      <c r="C2038" s="256">
        <v>278709</v>
      </c>
      <c r="D2038" s="256">
        <v>206787.97</v>
      </c>
      <c r="E2038" s="257">
        <f>IFERROR(((C2038/D2038)-1)*100,"")</f>
        <v>34.780084160601788</v>
      </c>
      <c r="F2038" s="373"/>
      <c r="G2038" s="374"/>
      <c r="H2038" s="375"/>
      <c r="I2038" s="380"/>
      <c r="J2038" s="380"/>
      <c r="K2038" s="380"/>
    </row>
    <row r="2039" spans="2:11" ht="25" customHeight="1" x14ac:dyDescent="0.35">
      <c r="B2039" s="4" t="s">
        <v>702</v>
      </c>
      <c r="C2039" s="261">
        <f>C2040</f>
        <v>78113</v>
      </c>
      <c r="D2039" s="261">
        <f>D2040</f>
        <v>73395.387220000004</v>
      </c>
      <c r="E2039" s="262">
        <f t="shared" si="41"/>
        <v>6.4276693109597272</v>
      </c>
      <c r="F2039" s="373"/>
      <c r="G2039" s="374"/>
      <c r="H2039" s="375"/>
      <c r="I2039" s="380"/>
      <c r="J2039" s="380"/>
      <c r="K2039" s="380"/>
    </row>
    <row r="2040" spans="2:11" ht="20.149999999999999" customHeight="1" x14ac:dyDescent="0.35">
      <c r="B2040" s="36" t="s">
        <v>698</v>
      </c>
      <c r="C2040" s="256">
        <v>78113</v>
      </c>
      <c r="D2040" s="256">
        <v>73395.387220000004</v>
      </c>
      <c r="E2040" s="257">
        <f>IFERROR(((C2040/D2040)-1)*100,"")</f>
        <v>6.4276693109597272</v>
      </c>
      <c r="F2040" s="373"/>
      <c r="G2040" s="374"/>
      <c r="H2040" s="375"/>
      <c r="I2040" s="380"/>
      <c r="J2040" s="380"/>
      <c r="K2040" s="380"/>
    </row>
    <row r="2041" spans="2:11" ht="25" customHeight="1" x14ac:dyDescent="0.35">
      <c r="B2041" s="4" t="s">
        <v>703</v>
      </c>
      <c r="C2041" s="353">
        <v>7696.4593340000001</v>
      </c>
      <c r="D2041" s="353">
        <v>6992</v>
      </c>
      <c r="E2041" s="351">
        <f t="shared" si="41"/>
        <v>10.075219307780326</v>
      </c>
      <c r="F2041" s="373"/>
      <c r="G2041" s="374"/>
      <c r="H2041" s="375"/>
      <c r="I2041" s="380"/>
      <c r="J2041" s="380"/>
      <c r="K2041" s="378"/>
    </row>
    <row r="2042" spans="2:11" ht="30" customHeight="1" x14ac:dyDescent="0.35">
      <c r="B2042" s="39" t="s">
        <v>704</v>
      </c>
      <c r="C2042" s="355">
        <f>IFERROR(SUM(C2041,C2037,C2034,C2031,C2028,C2026),0)</f>
        <v>5328564.6538615152</v>
      </c>
      <c r="D2042" s="355">
        <f>IFERROR(SUM(D2041,D2037,D2034,D2031,D2028,D2026),0)</f>
        <v>5542849.1419449998</v>
      </c>
      <c r="E2042" s="148">
        <f>IFERROR(((C2042/D2042)-1)*100,"")</f>
        <v>-3.8659628396144896</v>
      </c>
      <c r="F2042" s="373"/>
      <c r="G2042" s="374"/>
      <c r="H2042" s="375"/>
      <c r="I2042" s="380"/>
      <c r="J2042" s="380"/>
      <c r="K2042" s="378"/>
    </row>
    <row r="2043" spans="2:11" ht="30" customHeight="1" x14ac:dyDescent="0.35">
      <c r="B2043" s="39" t="s">
        <v>705</v>
      </c>
      <c r="C2043" s="355">
        <f>IFERROR(SUM(C2039,C2038,C2035,C2032,C2029),0)</f>
        <v>6310760</v>
      </c>
      <c r="D2043" s="355">
        <f>IFERROR(SUM(D2039,D2038,D2035,D2032,D2029),0)</f>
        <v>6283040.7322199997</v>
      </c>
      <c r="E2043" s="148">
        <f t="shared" si="41"/>
        <v>0.44117599998760859</v>
      </c>
      <c r="F2043" s="373"/>
      <c r="G2043" s="374"/>
      <c r="H2043" s="375"/>
      <c r="I2043" s="380"/>
      <c r="J2043" s="380"/>
      <c r="K2043" s="378"/>
    </row>
    <row r="2044" spans="2:11" ht="30" customHeight="1" x14ac:dyDescent="0.35">
      <c r="B2044" s="210" t="s">
        <v>722</v>
      </c>
      <c r="C2044" s="356">
        <f>IFERROR(SUM(C2042:C2043),0)</f>
        <v>11639324.653861515</v>
      </c>
      <c r="D2044" s="356">
        <f>IFERROR(SUM(D2042:D2043),0)</f>
        <v>11825889.874164999</v>
      </c>
      <c r="E2044" s="361">
        <f>IFERROR(((C2044/D2044)-1)*100,"")</f>
        <v>-1.5775998448206097</v>
      </c>
      <c r="F2044" s="381"/>
      <c r="G2044" s="382"/>
      <c r="H2044" s="383"/>
      <c r="I2044" s="384"/>
      <c r="J2044" s="384"/>
      <c r="K2044" s="385"/>
    </row>
    <row r="2045" spans="2:11" ht="20.149999999999999" customHeight="1" x14ac:dyDescent="0.35">
      <c r="B2045" s="350" t="s">
        <v>707</v>
      </c>
      <c r="C2045" s="349">
        <v>1552154.2964037887</v>
      </c>
      <c r="D2045" s="254">
        <v>1338562.343981029</v>
      </c>
      <c r="E2045" s="257">
        <f>IFERROR(((C2045/D2045)-1)*100,"")</f>
        <v>15.956817654642386</v>
      </c>
      <c r="F2045" s="373"/>
      <c r="G2045" s="374"/>
      <c r="H2045" s="375"/>
      <c r="I2045" s="380"/>
      <c r="J2045" s="380"/>
      <c r="K2045" s="378"/>
    </row>
    <row r="2046" spans="2:11" ht="20.149999999999999" customHeight="1" x14ac:dyDescent="0.35">
      <c r="B2046" s="350" t="s">
        <v>708</v>
      </c>
      <c r="C2046" s="349">
        <v>296170</v>
      </c>
      <c r="D2046" s="349">
        <v>166655.60049200026</v>
      </c>
      <c r="E2046" s="257">
        <f>IFERROR(((C2046/D2046)-1)*100,"")</f>
        <v>77.713799671686786</v>
      </c>
      <c r="F2046" s="373"/>
      <c r="G2046" s="374"/>
      <c r="H2046" s="375"/>
      <c r="I2046" s="380"/>
      <c r="J2046" s="380"/>
      <c r="K2046" s="378"/>
    </row>
    <row r="2047" spans="2:11" ht="30" customHeight="1" thickBot="1" x14ac:dyDescent="0.4">
      <c r="B2047" s="352" t="s">
        <v>723</v>
      </c>
      <c r="C2047" s="359">
        <f>SUM(C206,C2045:C2046)</f>
        <v>1848324.2964037887</v>
      </c>
      <c r="D2047" s="359">
        <f>SUM(D206,D2045:D2046)</f>
        <v>1505217.9444730293</v>
      </c>
      <c r="E2047" s="360">
        <f>IFERROR(((C2047/D2047)-1)*100,"")</f>
        <v>22.794463299524349</v>
      </c>
      <c r="F2047" s="381"/>
      <c r="G2047" s="382"/>
      <c r="H2047" s="383"/>
      <c r="I2047" s="384"/>
      <c r="J2047" s="384"/>
      <c r="K2047" s="385"/>
    </row>
    <row r="2048" spans="2:11" ht="45" customHeight="1" x14ac:dyDescent="0.35">
      <c r="B2048" s="357" t="s">
        <v>710</v>
      </c>
      <c r="C2048" s="362">
        <f>IFERROR(SUM(C2047,C2044),0)</f>
        <v>13487648.950265303</v>
      </c>
      <c r="D2048" s="362">
        <f>IFERROR(SUM(D2047,D2044),0)</f>
        <v>13331107.818638029</v>
      </c>
      <c r="E2048" s="363">
        <f>IFERROR(((C2048/D2048)-1)*100,"")</f>
        <v>1.1742544862507032</v>
      </c>
      <c r="F2048" s="386"/>
      <c r="G2048" s="386"/>
      <c r="H2048" s="386"/>
      <c r="I2048" s="386"/>
      <c r="J2048" s="386"/>
      <c r="K2048" s="386"/>
    </row>
    <row r="2050" spans="2:5" ht="35.15" customHeight="1" x14ac:dyDescent="0.35">
      <c r="B2050" s="518" t="s">
        <v>721</v>
      </c>
      <c r="C2050" s="520" t="s">
        <v>676</v>
      </c>
      <c r="D2050" s="520"/>
      <c r="E2050" s="520"/>
    </row>
    <row r="2051" spans="2:5" ht="35.15" customHeight="1" x14ac:dyDescent="0.35">
      <c r="B2051" s="519"/>
      <c r="C2051" s="144" t="s">
        <v>26</v>
      </c>
      <c r="D2051" s="144" t="s">
        <v>28</v>
      </c>
      <c r="E2051" s="146" t="s">
        <v>678</v>
      </c>
    </row>
    <row r="2052" spans="2:5" ht="20.149999999999999" customHeight="1" x14ac:dyDescent="0.35">
      <c r="B2052" s="49" t="s">
        <v>679</v>
      </c>
      <c r="C2052" s="254">
        <f xml:space="preserve">
IFERROR(
INDEX(
$CL$330:$DL$342,
MATCH($B2052,$CL$330:$CL$342,0),
MATCH(C$2051,$CL$329:$DL$329,0)
), 0)</f>
        <v>3756148</v>
      </c>
      <c r="D2052" s="254">
        <f t="shared" ref="C2052:D2058" si="42" xml:space="preserve">
IFERROR(
INDEX(
$CL$330:$DL$342,
MATCH($B2052,$CL$330:$CL$342,0),
MATCH(D$2051,$CL$329:$DL$329,0)
), 0)</f>
        <v>3374149</v>
      </c>
      <c r="E2052" s="257">
        <f>IFERROR(((C2052/D2052)-1)*100,"")</f>
        <v>11.321343544698227</v>
      </c>
    </row>
    <row r="2053" spans="2:5" ht="20.149999999999999" customHeight="1" x14ac:dyDescent="0.35">
      <c r="B2053" s="36" t="s">
        <v>680</v>
      </c>
      <c r="C2053" s="202">
        <f t="shared" si="42"/>
        <v>192896</v>
      </c>
      <c r="D2053" s="202">
        <f t="shared" si="42"/>
        <v>214895</v>
      </c>
      <c r="E2053" s="257">
        <f t="shared" ref="E2053:E2062" si="43">IFERROR(((C2053/D2053)-1)*100,"")</f>
        <v>-10.237092533562908</v>
      </c>
    </row>
    <row r="2054" spans="2:5" ht="20.149999999999999" customHeight="1" x14ac:dyDescent="0.35">
      <c r="B2054" s="36" t="s">
        <v>681</v>
      </c>
      <c r="C2054" s="202">
        <f t="shared" si="42"/>
        <v>1341327</v>
      </c>
      <c r="D2054" s="202">
        <f t="shared" si="42"/>
        <v>1275767</v>
      </c>
      <c r="E2054" s="257">
        <f t="shared" si="43"/>
        <v>5.1388694017010961</v>
      </c>
    </row>
    <row r="2055" spans="2:5" ht="20.149999999999999" customHeight="1" x14ac:dyDescent="0.35">
      <c r="B2055" s="36" t="s">
        <v>682</v>
      </c>
      <c r="C2055" s="202">
        <f t="shared" si="42"/>
        <v>646694</v>
      </c>
      <c r="D2055" s="202">
        <f t="shared" si="42"/>
        <v>631603</v>
      </c>
      <c r="E2055" s="257">
        <f t="shared" si="43"/>
        <v>2.3893173401646317</v>
      </c>
    </row>
    <row r="2056" spans="2:5" ht="20.149999999999999" customHeight="1" x14ac:dyDescent="0.35">
      <c r="B2056" s="36" t="s">
        <v>683</v>
      </c>
      <c r="C2056" s="202">
        <f t="shared" si="42"/>
        <v>239523</v>
      </c>
      <c r="D2056" s="202">
        <f t="shared" si="42"/>
        <v>228234</v>
      </c>
      <c r="E2056" s="257">
        <f t="shared" si="43"/>
        <v>4.946239385893425</v>
      </c>
    </row>
    <row r="2057" spans="2:5" ht="20.149999999999999" customHeight="1" x14ac:dyDescent="0.35">
      <c r="B2057" s="36" t="s">
        <v>684</v>
      </c>
      <c r="C2057" s="202">
        <f t="shared" si="42"/>
        <v>151440</v>
      </c>
      <c r="D2057" s="202">
        <f t="shared" si="42"/>
        <v>140046</v>
      </c>
      <c r="E2057" s="257">
        <f t="shared" si="43"/>
        <v>8.1358982048755468</v>
      </c>
    </row>
    <row r="2058" spans="2:5" ht="20.149999999999999" customHeight="1" x14ac:dyDescent="0.35">
      <c r="B2058" s="36" t="s">
        <v>685</v>
      </c>
      <c r="C2058" s="202">
        <f t="shared" si="42"/>
        <v>111674</v>
      </c>
      <c r="D2058" s="202">
        <f t="shared" si="42"/>
        <v>144450</v>
      </c>
      <c r="E2058" s="257">
        <f t="shared" si="43"/>
        <v>-22.690204222914502</v>
      </c>
    </row>
    <row r="2059" spans="2:5" ht="25" customHeight="1" x14ac:dyDescent="0.35">
      <c r="B2059" s="4" t="s">
        <v>686</v>
      </c>
      <c r="C2059" s="203">
        <f t="shared" ref="C2059:D2059" si="44">IFERROR(SUM(C2052:C2058),0)</f>
        <v>6439702</v>
      </c>
      <c r="D2059" s="203">
        <f t="shared" si="44"/>
        <v>6009144</v>
      </c>
      <c r="E2059" s="257">
        <f t="shared" si="43"/>
        <v>7.1650471348331912</v>
      </c>
    </row>
    <row r="2060" spans="2:5" ht="20.149999999999999" customHeight="1" x14ac:dyDescent="0.35">
      <c r="B2060" s="36" t="s">
        <v>687</v>
      </c>
      <c r="C2060" s="202">
        <f t="shared" ref="C2060:D2062" si="45" xml:space="preserve">
IFERROR(
INDEX(
$CL$330:$DL$342,
MATCH($B2060,$CL$330:$CL$342,0),
MATCH(C$2051,$CL$329:$DL$329,0)
), 0)</f>
        <v>0</v>
      </c>
      <c r="D2060" s="202">
        <f t="shared" si="45"/>
        <v>0</v>
      </c>
      <c r="E2060" s="257" t="str">
        <f t="shared" si="43"/>
        <v/>
      </c>
    </row>
    <row r="2061" spans="2:5" ht="20.149999999999999" customHeight="1" x14ac:dyDescent="0.35">
      <c r="B2061" s="36" t="s">
        <v>688</v>
      </c>
      <c r="C2061" s="202">
        <f t="shared" si="45"/>
        <v>34075</v>
      </c>
      <c r="D2061" s="202">
        <f t="shared" si="45"/>
        <v>81043</v>
      </c>
      <c r="E2061" s="257">
        <f t="shared" si="43"/>
        <v>-57.95441925891194</v>
      </c>
    </row>
    <row r="2062" spans="2:5" ht="20.149999999999999" customHeight="1" x14ac:dyDescent="0.35">
      <c r="B2062" s="251" t="s">
        <v>689</v>
      </c>
      <c r="C2062" s="202">
        <f t="shared" si="45"/>
        <v>-69916</v>
      </c>
      <c r="D2062" s="202">
        <f t="shared" si="45"/>
        <v>0</v>
      </c>
      <c r="E2062" s="257" t="str">
        <f t="shared" si="43"/>
        <v/>
      </c>
    </row>
    <row r="2063" spans="2:5" ht="30" customHeight="1" x14ac:dyDescent="0.35">
      <c r="B2063" s="39" t="s">
        <v>704</v>
      </c>
      <c r="C2063" s="204">
        <f>IFERROR(SUM(C2059:C2062),0)</f>
        <v>6403861</v>
      </c>
      <c r="D2063" s="204">
        <f>IFERROR(SUM(D2059:D2062),0)</f>
        <v>6090187</v>
      </c>
      <c r="E2063" s="148">
        <f>IFERROR(((C2063/D2063)-1)*100,"")</f>
        <v>5.1504822429918828</v>
      </c>
    </row>
    <row r="2064" spans="2:5" ht="30" customHeight="1" x14ac:dyDescent="0.35">
      <c r="B2064" s="102" t="s">
        <v>712</v>
      </c>
      <c r="C2064" s="204">
        <f xml:space="preserve">
IFERROR(
INDEX(
$CL$330:$DL$342,
MATCH($B2064,$CL$330:$CL$342,0),
MATCH(C$2051,$CL$329:$DL$329,0)
), 0)</f>
        <v>1663919</v>
      </c>
      <c r="D2064" s="204">
        <f xml:space="preserve">
IFERROR(
INDEX(
$CL$330:$DL$342,
MATCH($B2064,$CL$330:$CL$342,0),
MATCH(D$2051,$CL$329:$DL$329,0)
), 0)</f>
        <v>1424464</v>
      </c>
      <c r="E2064" s="148">
        <f>IFERROR(((C2064/D2064)-1)*100,"")</f>
        <v>16.810182637118242</v>
      </c>
    </row>
    <row r="2065" spans="2:5" ht="40" customHeight="1" x14ac:dyDescent="0.35">
      <c r="B2065" s="368" t="s">
        <v>710</v>
      </c>
      <c r="C2065" s="366">
        <f>IFERROR(SUM(C2064,C2063),0)</f>
        <v>8067780</v>
      </c>
      <c r="D2065" s="366">
        <f>IFERROR(SUM(D2064,D2063),0)</f>
        <v>7514651</v>
      </c>
      <c r="E2065" s="399">
        <f>IFERROR(((C2065/D2065)-1)*100,"")</f>
        <v>7.3606745010513563</v>
      </c>
    </row>
    <row r="2066" spans="2:5" ht="18" customHeight="1" x14ac:dyDescent="0.35">
      <c r="B2066" s="84" t="s">
        <v>713</v>
      </c>
    </row>
    <row r="3032" spans="2:11" ht="50.15" customHeight="1" x14ac:dyDescent="0.35">
      <c r="B3032" s="481" t="s">
        <v>673</v>
      </c>
      <c r="C3032" s="481"/>
      <c r="D3032" s="481"/>
      <c r="E3032" s="481"/>
      <c r="F3032" s="481"/>
      <c r="G3032" s="481"/>
      <c r="H3032" s="481"/>
      <c r="I3032" s="481"/>
      <c r="J3032" s="481"/>
      <c r="K3032" s="481"/>
    </row>
    <row r="3033" spans="2:11" ht="10" customHeight="1" x14ac:dyDescent="0.35"/>
    <row r="3034" spans="2:11" ht="35.15" customHeight="1" x14ac:dyDescent="0.35">
      <c r="B3034" s="518" t="s">
        <v>724</v>
      </c>
      <c r="C3034" s="520" t="s">
        <v>675</v>
      </c>
      <c r="D3034" s="520"/>
      <c r="E3034" s="522"/>
      <c r="F3034" s="523" t="s">
        <v>676</v>
      </c>
      <c r="G3034" s="520"/>
      <c r="H3034" s="522"/>
      <c r="I3034" s="518" t="s">
        <v>677</v>
      </c>
      <c r="J3034" s="518"/>
      <c r="K3034" s="518"/>
    </row>
    <row r="3035" spans="2:11" ht="35.15" customHeight="1" x14ac:dyDescent="0.35">
      <c r="B3035" s="519"/>
      <c r="C3035" s="144" t="s">
        <v>26</v>
      </c>
      <c r="D3035" s="144" t="s">
        <v>28</v>
      </c>
      <c r="E3035" s="38" t="s">
        <v>678</v>
      </c>
      <c r="F3035" s="144" t="s">
        <v>26</v>
      </c>
      <c r="G3035" s="144" t="s">
        <v>28</v>
      </c>
      <c r="H3035" s="38" t="s">
        <v>678</v>
      </c>
      <c r="I3035" s="144" t="s">
        <v>26</v>
      </c>
      <c r="J3035" s="144" t="s">
        <v>28</v>
      </c>
      <c r="K3035" s="37" t="s">
        <v>678</v>
      </c>
    </row>
    <row r="3036" spans="2:11" ht="20.149999999999999" customHeight="1" x14ac:dyDescent="0.35">
      <c r="B3036" s="250" t="s">
        <v>696</v>
      </c>
      <c r="C3036" s="254">
        <f xml:space="preserve">
IFERROR(
INDEX(
$CL$351:$DL$359,
MATCH($B3036,$CL$351:$CL$359,0),
MATCH(C$3035,$CL$350:$DL$350,0)
), 0)</f>
        <v>2648039</v>
      </c>
      <c r="D3036" s="254">
        <f xml:space="preserve">
IFERROR(
INDEX(
$CL$351:$DL$359,
MATCH($B3036,$CL$351:$CL$359,0),
MATCH(D$3035,$CL$350:$DL$350,0)
), 0)</f>
        <v>2441227</v>
      </c>
      <c r="E3036" s="253">
        <f>IFERROR(((C3036/D3036)-1)*100,"")</f>
        <v>8.4716415146973247</v>
      </c>
      <c r="F3036" s="254">
        <f xml:space="preserve">
IFERROR(
INDEX(
$CL$364:$DL$372,
MATCH($B3036,$CL$364:$CL$372,0),
MATCH(F$3035,$CL$363:$DL$363,0)
), 0)</f>
        <v>644899</v>
      </c>
      <c r="G3036" s="254">
        <f xml:space="preserve">
IFERROR(
INDEX(
$CL$364:$DL$372,
MATCH($B3036,$CL$364:$CL$372,0),
MATCH(G$3035,$CL$363:$DL$363,0)
), 0)</f>
        <v>603503</v>
      </c>
      <c r="H3036" s="253">
        <f>IFERROR((F3036/G3036)-1*100,"")</f>
        <v>-98.931407134678707</v>
      </c>
      <c r="I3036" s="255">
        <f>IFERROR(F3036*1000/C3036,0)</f>
        <v>243.53833157291112</v>
      </c>
      <c r="J3036" s="255">
        <f>IFERROR(G3036*1000/D3036,0)</f>
        <v>247.21297937471607</v>
      </c>
      <c r="K3036" s="253">
        <f>IFERROR(((I3036/J3036)-1)*100,"")</f>
        <v>-1.4864299645995005</v>
      </c>
    </row>
    <row r="3037" spans="2:11" ht="20.149999999999999" customHeight="1" x14ac:dyDescent="0.35">
      <c r="B3037" s="36" t="s">
        <v>715</v>
      </c>
      <c r="C3037" s="256">
        <f t="shared" ref="C3037:D3044" si="46" xml:space="preserve">
IFERROR(
INDEX(
$CL$351:$DL$359,
MATCH($B3037,$CL$351:$CL$359,0),
MATCH(C$3035,$CL$350:$DL$350,0)
), 0)</f>
        <v>1167256</v>
      </c>
      <c r="D3037" s="256">
        <f t="shared" si="46"/>
        <v>1152685</v>
      </c>
      <c r="E3037" s="257">
        <f t="shared" ref="E3037:E3044" si="47">IFERROR(((C3037/D3037)-1)*100,"")</f>
        <v>1.2640920980146353</v>
      </c>
      <c r="F3037" s="259">
        <f t="shared" ref="F3037:G3044" si="48" xml:space="preserve">
IFERROR(
INDEX(
$CL$364:$DL$372,
MATCH($B3037,$CL$364:$CL$372,0),
MATCH(F$3035,$CL$363:$DL$363,0)
), 0)</f>
        <v>289365</v>
      </c>
      <c r="G3037" s="259">
        <f t="shared" si="48"/>
        <v>277148</v>
      </c>
      <c r="H3037" s="257">
        <f t="shared" ref="H3037:H3039" si="49">IFERROR((F3037/G3037)-1*100,"")</f>
        <v>-98.95591885923767</v>
      </c>
      <c r="I3037" s="260">
        <f t="shared" ref="I3037:I3039" si="50">IFERROR(F3037*1000/C3037,0)</f>
        <v>247.90191697451115</v>
      </c>
      <c r="J3037" s="260">
        <f>IFERROR(G3037*1000/D3037,0)</f>
        <v>240.43689299331561</v>
      </c>
      <c r="K3037" s="257">
        <f t="shared" ref="K3037:K3039" si="51">IFERROR(((I3037/J3037)-1)*100,"")</f>
        <v>3.1047747657440672</v>
      </c>
    </row>
    <row r="3038" spans="2:11" ht="20.149999999999999" customHeight="1" x14ac:dyDescent="0.35">
      <c r="B3038" s="36" t="s">
        <v>700</v>
      </c>
      <c r="C3038" s="256">
        <f t="shared" si="46"/>
        <v>47369</v>
      </c>
      <c r="D3038" s="256">
        <f t="shared" si="46"/>
        <v>27707</v>
      </c>
      <c r="E3038" s="257">
        <f t="shared" si="47"/>
        <v>70.964016313566972</v>
      </c>
      <c r="F3038" s="259">
        <f t="shared" si="48"/>
        <v>11296</v>
      </c>
      <c r="G3038" s="259">
        <f t="shared" si="48"/>
        <v>6807</v>
      </c>
      <c r="H3038" s="257">
        <f t="shared" si="49"/>
        <v>-98.340531805494351</v>
      </c>
      <c r="I3038" s="260">
        <f t="shared" si="50"/>
        <v>238.46819649982055</v>
      </c>
      <c r="J3038" s="260">
        <f t="shared" ref="J3038:J3039" si="52">IFERROR(G3038*1000/D3038,0)</f>
        <v>245.67798751218103</v>
      </c>
      <c r="K3038" s="257">
        <f t="shared" si="51"/>
        <v>-2.9346507944685185</v>
      </c>
    </row>
    <row r="3039" spans="2:11" ht="20.149999999999999" customHeight="1" x14ac:dyDescent="0.35">
      <c r="B3039" s="36" t="s">
        <v>716</v>
      </c>
      <c r="C3039" s="256">
        <f xml:space="preserve">
IFERROR(
INDEX(
$CL$351:$DL$359,
MATCH($B3039,$CL$351:$CL$359,0),
MATCH(C$3035,$CL$350:$DL$350,0)
), 0)</f>
        <v>53695</v>
      </c>
      <c r="D3039" s="474">
        <f t="shared" si="46"/>
        <v>4197</v>
      </c>
      <c r="E3039" s="257">
        <f>IFERROR(((C3039/D3039)-1)*100,"")</f>
        <v>1179.3662139623541</v>
      </c>
      <c r="F3039" s="259">
        <f t="shared" si="48"/>
        <v>14935</v>
      </c>
      <c r="G3039" s="259">
        <f t="shared" si="48"/>
        <v>1012</v>
      </c>
      <c r="H3039" s="257">
        <f t="shared" si="49"/>
        <v>-85.242094861660078</v>
      </c>
      <c r="I3039" s="260">
        <f t="shared" si="50"/>
        <v>278.1450786851662</v>
      </c>
      <c r="J3039" s="260">
        <f t="shared" si="52"/>
        <v>241.12461281868002</v>
      </c>
      <c r="K3039" s="257">
        <f t="shared" si="51"/>
        <v>15.353250517948869</v>
      </c>
    </row>
    <row r="3040" spans="2:11" ht="25" customHeight="1" x14ac:dyDescent="0.35">
      <c r="B3040" s="4" t="s">
        <v>686</v>
      </c>
      <c r="C3040" s="261">
        <f>IFERROR(SUM(C3036:C3039),0)</f>
        <v>3916359</v>
      </c>
      <c r="D3040" s="261">
        <f>IFERROR(SUM(D3036:D3039),0)</f>
        <v>3625816</v>
      </c>
      <c r="E3040" s="262">
        <f>IFERROR(((C3040/D3040)-1)*100,"")</f>
        <v>8.0131755169043259</v>
      </c>
      <c r="F3040" s="263">
        <f>IFERROR(SUM(F3036:F3039),0)</f>
        <v>960495</v>
      </c>
      <c r="G3040" s="263">
        <f>IFERROR(SUM(G3036:G3039),0)</f>
        <v>888470</v>
      </c>
      <c r="H3040" s="262">
        <f>IFERROR((F3040/G3040)-1*100,"")</f>
        <v>-98.918933672493168</v>
      </c>
      <c r="I3040" s="264">
        <f>IFERROR(F3040*1000/C3040,0)</f>
        <v>245.25203128722367</v>
      </c>
      <c r="J3040" s="264">
        <f>IFERROR(G3040*1000/D3040,0)</f>
        <v>245.04001306188732</v>
      </c>
      <c r="K3040" s="262">
        <f>IFERROR(((I3040/J3040)-1)*100,"")</f>
        <v>8.6523920190462178E-2</v>
      </c>
    </row>
    <row r="3041" spans="2:11" ht="20.149999999999999" customHeight="1" x14ac:dyDescent="0.35">
      <c r="B3041" s="36" t="s">
        <v>717</v>
      </c>
      <c r="C3041" s="256">
        <f t="shared" si="46"/>
        <v>0</v>
      </c>
      <c r="D3041" s="256">
        <f t="shared" si="46"/>
        <v>0</v>
      </c>
      <c r="E3041" s="257" t="str">
        <f t="shared" si="47"/>
        <v/>
      </c>
      <c r="F3041" s="259">
        <f t="shared" si="48"/>
        <v>-24238</v>
      </c>
      <c r="G3041" s="259">
        <f t="shared" si="48"/>
        <v>3093</v>
      </c>
      <c r="H3041" s="257">
        <f>IFERROR((F3041/G3041)-1*100,"")</f>
        <v>-107.83640478499838</v>
      </c>
      <c r="I3041" s="439">
        <f>IFERROR(F3041*1000/C3041,0)</f>
        <v>0</v>
      </c>
      <c r="J3041" s="439">
        <f>IFERROR(G3041*1000/D3041,0)</f>
        <v>0</v>
      </c>
      <c r="K3041" s="257" t="str">
        <f>IFERROR(((I3041/J3041)-1)*100,"")</f>
        <v/>
      </c>
    </row>
    <row r="3042" spans="2:11" ht="25" customHeight="1" x14ac:dyDescent="0.35">
      <c r="B3042" s="4" t="s">
        <v>686</v>
      </c>
      <c r="C3042" s="261">
        <f>SUM(C3040:C3041)</f>
        <v>3916359</v>
      </c>
      <c r="D3042" s="261">
        <f>SUM(D3040:D3041)</f>
        <v>3625816</v>
      </c>
      <c r="E3042" s="262">
        <f t="shared" si="47"/>
        <v>8.0131755169043259</v>
      </c>
      <c r="F3042" s="263">
        <f>SUM(F3040:F3041)</f>
        <v>936257</v>
      </c>
      <c r="G3042" s="263">
        <f>SUM(G3040:G3041)</f>
        <v>891563</v>
      </c>
      <c r="H3042" s="262">
        <f>IFERROR((F3042/G3042)-1*100,"")</f>
        <v>-98.949870059659276</v>
      </c>
      <c r="I3042" s="473">
        <f t="shared" ref="I3042" si="53">IFERROR(F3042*1000/C3042,0)</f>
        <v>239.06311959654363</v>
      </c>
      <c r="J3042" s="473">
        <f t="shared" ref="J3042" si="54">IFERROR(G3042*1000/D3042,0)</f>
        <v>245.89306241684631</v>
      </c>
      <c r="K3042" s="472">
        <f>IFERROR(((I3042/J3042)-1)*100,"")</f>
        <v>-2.7776069618118515</v>
      </c>
    </row>
    <row r="3043" spans="2:11" ht="20.149999999999999" customHeight="1" x14ac:dyDescent="0.35">
      <c r="B3043" s="36" t="s">
        <v>718</v>
      </c>
      <c r="C3043" s="256">
        <f t="shared" si="46"/>
        <v>3152736</v>
      </c>
      <c r="D3043" s="256">
        <f t="shared" si="46"/>
        <v>2726405</v>
      </c>
      <c r="E3043" s="257">
        <f t="shared" si="47"/>
        <v>15.637111874428044</v>
      </c>
      <c r="F3043" s="259">
        <f t="shared" si="48"/>
        <v>756430</v>
      </c>
      <c r="G3043" s="259">
        <f t="shared" si="48"/>
        <v>566755</v>
      </c>
      <c r="H3043" s="257">
        <f>IFERROR((F3043/G3043)-1*100,"")</f>
        <v>-98.665331580665367</v>
      </c>
      <c r="I3043" s="439">
        <f t="shared" ref="I3043:J3045" si="55">IFERROR(F3043*1000/C3043,0)</f>
        <v>239.9281132324432</v>
      </c>
      <c r="J3043" s="439">
        <f t="shared" si="55"/>
        <v>207.87630597801868</v>
      </c>
      <c r="K3043" s="257">
        <f t="shared" ref="K3043" si="56">IFERROR(((I3043/J3043)-1)*100,"")</f>
        <v>15.418691949343067</v>
      </c>
    </row>
    <row r="3044" spans="2:11" ht="20.149999999999999" customHeight="1" x14ac:dyDescent="0.35">
      <c r="B3044" s="251" t="s">
        <v>719</v>
      </c>
      <c r="C3044" s="256">
        <f t="shared" si="46"/>
        <v>0</v>
      </c>
      <c r="D3044" s="256">
        <f t="shared" si="46"/>
        <v>0</v>
      </c>
      <c r="E3044" s="266" t="str">
        <f t="shared" si="47"/>
        <v/>
      </c>
      <c r="F3044" s="259">
        <f t="shared" si="48"/>
        <v>61960</v>
      </c>
      <c r="G3044" s="259">
        <f t="shared" si="48"/>
        <v>-11492</v>
      </c>
      <c r="H3044" s="266">
        <f>IFERROR((F3044/G3044)-1*100,"")</f>
        <v>-105.39157674904281</v>
      </c>
      <c r="I3044" s="440">
        <f t="shared" si="55"/>
        <v>0</v>
      </c>
      <c r="J3044" s="440">
        <f t="shared" si="55"/>
        <v>0</v>
      </c>
      <c r="K3044" s="266" t="str">
        <f>IFERROR(((I3044/J3044)-1)*100,"")</f>
        <v/>
      </c>
    </row>
    <row r="3045" spans="2:11" ht="28" customHeight="1" x14ac:dyDescent="0.35">
      <c r="B3045" s="39" t="s">
        <v>143</v>
      </c>
      <c r="C3045" s="143">
        <f>SUM(C3042:C3044)</f>
        <v>7069095</v>
      </c>
      <c r="D3045" s="143">
        <f>SUM(D3042:D3044)</f>
        <v>6352221</v>
      </c>
      <c r="E3045" s="148">
        <f>IFERROR(((C3045/D3045)-1)*100,"")</f>
        <v>11.285407104066426</v>
      </c>
      <c r="F3045" s="143">
        <f>SUM(F3042:F3044)</f>
        <v>1754647</v>
      </c>
      <c r="G3045" s="143">
        <f>SUM(G3042:G3044)</f>
        <v>1446826</v>
      </c>
      <c r="H3045" s="148">
        <f>IFERROR(((F3045/G3045)-1)*100,"")</f>
        <v>21.275606050762153</v>
      </c>
      <c r="I3045" s="441">
        <f>IFERROR(F3045*1000/C3045,0)</f>
        <v>248.21380954704952</v>
      </c>
      <c r="J3045" s="441">
        <f t="shared" si="55"/>
        <v>227.76694954410434</v>
      </c>
      <c r="K3045" s="148">
        <f>IFERROR(((I3045/J3045)-1)*100,"")</f>
        <v>8.9770970037011075</v>
      </c>
    </row>
  </sheetData>
  <mergeCells count="17">
    <mergeCell ref="B2050:B2051"/>
    <mergeCell ref="C2050:E2050"/>
    <mergeCell ref="B3032:K3032"/>
    <mergeCell ref="B3034:B3035"/>
    <mergeCell ref="C3034:E3034"/>
    <mergeCell ref="F3034:H3034"/>
    <mergeCell ref="I3034:K3034"/>
    <mergeCell ref="B2022:E2022"/>
    <mergeCell ref="B5:K5"/>
    <mergeCell ref="B2024:B2025"/>
    <mergeCell ref="C2024:E2024"/>
    <mergeCell ref="DM265:EJ265"/>
    <mergeCell ref="B7:B8"/>
    <mergeCell ref="C7:E7"/>
    <mergeCell ref="F7:H7"/>
    <mergeCell ref="I7:K7"/>
    <mergeCell ref="CL264:DL264"/>
  </mergeCells>
  <pageMargins left="0.511811024" right="0.511811024" top="0.78740157499999996" bottom="0.78740157499999996" header="0.31496062000000002" footer="0.31496062000000002"/>
  <ignoredErrors>
    <ignoredError sqref="C3042:E3042 C3040:E3040 E3045 C16:E16 E22 C19:E19 F19:G19 F16:G16 C2059:D2059 C2063:D2063 F3042:G3042 F3040:G3040 H3043 H3041" formula="1"/>
    <ignoredError sqref="CO294:CP294 CQ294:DL294 CO373:CP373 CR373:DL373" formulaRange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ABF7-9111-468A-990B-83E095247EDA}">
  <sheetPr>
    <tabColor rgb="FF17772E"/>
  </sheetPr>
  <dimension ref="B4:CB902"/>
  <sheetViews>
    <sheetView showGridLines="0" workbookViewId="0"/>
  </sheetViews>
  <sheetFormatPr defaultColWidth="15.54296875" defaultRowHeight="19" customHeight="1" x14ac:dyDescent="0.35"/>
  <cols>
    <col min="1" max="1" width="2.54296875" style="85" customWidth="1"/>
    <col min="2" max="2" width="55.54296875" style="85" customWidth="1"/>
    <col min="3" max="5" width="20.54296875" style="85" customWidth="1"/>
    <col min="6" max="53" width="8.7265625" style="85" customWidth="1"/>
    <col min="54" max="54" width="55.54296875" style="85" customWidth="1"/>
    <col min="55" max="56" width="15.54296875" style="85" customWidth="1"/>
    <col min="57" max="16384" width="15.54296875" style="85"/>
  </cols>
  <sheetData>
    <row r="4" spans="2:5" ht="45" customHeight="1" x14ac:dyDescent="0.35">
      <c r="B4" s="481" t="s">
        <v>725</v>
      </c>
      <c r="C4" s="481"/>
      <c r="D4" s="481"/>
      <c r="E4" s="481"/>
    </row>
    <row r="5" spans="2:5" ht="12" customHeight="1" x14ac:dyDescent="0.35">
      <c r="B5" s="427" t="s">
        <v>859</v>
      </c>
      <c r="C5" s="185"/>
      <c r="D5" s="185"/>
      <c r="E5" s="185"/>
    </row>
    <row r="6" spans="2:5" ht="39" customHeight="1" x14ac:dyDescent="0.35">
      <c r="B6" s="183"/>
      <c r="C6" s="192" t="s">
        <v>26</v>
      </c>
      <c r="D6" s="192" t="s">
        <v>28</v>
      </c>
      <c r="E6" s="188" t="s">
        <v>5</v>
      </c>
    </row>
    <row r="7" spans="2:5" ht="20.149999999999999" customHeight="1" x14ac:dyDescent="0.35">
      <c r="B7" s="49" t="s">
        <v>726</v>
      </c>
      <c r="C7" s="160">
        <v>277364</v>
      </c>
      <c r="D7" s="160">
        <v>322822</v>
      </c>
      <c r="E7" s="153">
        <f>IFERROR(((C7/D7)-1)*100,0)</f>
        <v>-14.081444263402121</v>
      </c>
    </row>
    <row r="8" spans="2:5" ht="20.149999999999999" customHeight="1" x14ac:dyDescent="0.35">
      <c r="B8" s="49" t="s">
        <v>727</v>
      </c>
      <c r="C8" s="160">
        <v>176360</v>
      </c>
      <c r="D8" s="160">
        <v>200845</v>
      </c>
      <c r="E8" s="153">
        <f t="shared" ref="E8:E15" si="0">IFERROR(((C8/D8)-1)*100,0)</f>
        <v>-12.190993054345389</v>
      </c>
    </row>
    <row r="9" spans="2:5" ht="20.149999999999999" customHeight="1" x14ac:dyDescent="0.35">
      <c r="B9" s="49" t="s">
        <v>728</v>
      </c>
      <c r="C9" s="160">
        <v>62643</v>
      </c>
      <c r="D9" s="160">
        <v>83446</v>
      </c>
      <c r="E9" s="153">
        <f t="shared" si="0"/>
        <v>-24.92989478225439</v>
      </c>
    </row>
    <row r="10" spans="2:5" ht="20.149999999999999" customHeight="1" x14ac:dyDescent="0.35">
      <c r="B10" s="49" t="s">
        <v>729</v>
      </c>
      <c r="C10" s="160">
        <v>585257</v>
      </c>
      <c r="D10" s="160">
        <v>489394</v>
      </c>
      <c r="E10" s="153">
        <f t="shared" si="0"/>
        <v>19.588102837386657</v>
      </c>
    </row>
    <row r="11" spans="2:5" ht="20.149999999999999" customHeight="1" x14ac:dyDescent="0.35">
      <c r="B11" s="49" t="s">
        <v>730</v>
      </c>
      <c r="C11" s="160">
        <v>108404</v>
      </c>
      <c r="D11" s="160">
        <v>134838</v>
      </c>
      <c r="E11" s="153">
        <f t="shared" si="0"/>
        <v>-19.604265859772461</v>
      </c>
    </row>
    <row r="12" spans="2:5" ht="20.149999999999999" customHeight="1" x14ac:dyDescent="0.35">
      <c r="B12" s="49" t="s">
        <v>731</v>
      </c>
      <c r="C12" s="160">
        <v>26620</v>
      </c>
      <c r="D12" s="160">
        <v>132433</v>
      </c>
      <c r="E12" s="153">
        <f t="shared" si="0"/>
        <v>-79.899269819455881</v>
      </c>
    </row>
    <row r="13" spans="2:5" ht="20.149999999999999" customHeight="1" x14ac:dyDescent="0.35">
      <c r="B13" s="49" t="s">
        <v>732</v>
      </c>
      <c r="C13" s="160">
        <v>1064799</v>
      </c>
      <c r="D13" s="160">
        <v>1046488</v>
      </c>
      <c r="E13" s="153">
        <f t="shared" si="0"/>
        <v>1.7497572834088926</v>
      </c>
    </row>
    <row r="14" spans="2:5" ht="20.149999999999999" customHeight="1" x14ac:dyDescent="0.35">
      <c r="B14" s="49" t="s">
        <v>733</v>
      </c>
      <c r="C14" s="160">
        <v>1968106</v>
      </c>
      <c r="D14" s="160">
        <v>1656838</v>
      </c>
      <c r="E14" s="153">
        <f t="shared" si="0"/>
        <v>18.78686992934735</v>
      </c>
    </row>
    <row r="15" spans="2:5" ht="20.149999999999999" customHeight="1" x14ac:dyDescent="0.35">
      <c r="B15" s="49" t="s">
        <v>734</v>
      </c>
      <c r="C15" s="160">
        <v>901198</v>
      </c>
      <c r="D15" s="160">
        <v>846075</v>
      </c>
      <c r="E15" s="153">
        <f t="shared" si="0"/>
        <v>6.5151434565493549</v>
      </c>
    </row>
    <row r="16" spans="2:5" ht="20.149999999999999" customHeight="1" x14ac:dyDescent="0.35">
      <c r="B16" s="74" t="s">
        <v>735</v>
      </c>
      <c r="C16" s="193">
        <v>-385494</v>
      </c>
      <c r="D16" s="193">
        <v>-365876</v>
      </c>
      <c r="E16" s="189">
        <f>IFERROR(((C16/D16)-1)*100,0)</f>
        <v>5.361925898391795</v>
      </c>
    </row>
    <row r="17" spans="2:5" ht="28" customHeight="1" x14ac:dyDescent="0.35">
      <c r="B17" s="39" t="s">
        <v>440</v>
      </c>
      <c r="C17" s="190">
        <f>IFERROR(SUM(C7:C16),0)</f>
        <v>4785257</v>
      </c>
      <c r="D17" s="190">
        <f>IFERROR(SUM(D7:D16),0)</f>
        <v>4547303</v>
      </c>
      <c r="E17" s="191">
        <f>IFERROR(((C17/D17)-1)*100,0)</f>
        <v>5.2328600051503082</v>
      </c>
    </row>
    <row r="223" spans="68:68" ht="19" customHeight="1" x14ac:dyDescent="0.35">
      <c r="BP223" s="186" t="s">
        <v>154</v>
      </c>
    </row>
    <row r="224" spans="68:68" ht="19" customHeight="1" x14ac:dyDescent="0.35">
      <c r="BP224" s="186" t="s">
        <v>154</v>
      </c>
    </row>
    <row r="225" spans="68:68" ht="19" customHeight="1" x14ac:dyDescent="0.35">
      <c r="BP225" s="186" t="s">
        <v>154</v>
      </c>
    </row>
    <row r="226" spans="68:68" ht="19" customHeight="1" x14ac:dyDescent="0.35">
      <c r="BP226" s="186" t="s">
        <v>154</v>
      </c>
    </row>
    <row r="227" spans="68:68" ht="19" customHeight="1" x14ac:dyDescent="0.35">
      <c r="BP227" s="186" t="s">
        <v>154</v>
      </c>
    </row>
    <row r="228" spans="68:68" ht="19" customHeight="1" x14ac:dyDescent="0.35">
      <c r="BP228" s="186" t="s">
        <v>154</v>
      </c>
    </row>
    <row r="229" spans="68:68" ht="19" customHeight="1" x14ac:dyDescent="0.35">
      <c r="BP229" s="186"/>
    </row>
    <row r="230" spans="68:68" ht="19" customHeight="1" x14ac:dyDescent="0.35">
      <c r="BP230" s="186"/>
    </row>
    <row r="231" spans="68:68" ht="19" customHeight="1" x14ac:dyDescent="0.35">
      <c r="BP231" s="186"/>
    </row>
    <row r="232" spans="68:68" ht="19" customHeight="1" x14ac:dyDescent="0.35">
      <c r="BP232" s="186"/>
    </row>
    <row r="233" spans="68:68" ht="19" customHeight="1" x14ac:dyDescent="0.35">
      <c r="BP233" s="186"/>
    </row>
    <row r="234" spans="68:68" ht="19" customHeight="1" x14ac:dyDescent="0.35">
      <c r="BP234" s="186"/>
    </row>
    <row r="235" spans="68:68" ht="19" customHeight="1" x14ac:dyDescent="0.35">
      <c r="BP235" s="186"/>
    </row>
    <row r="236" spans="68:68" ht="19" customHeight="1" x14ac:dyDescent="0.35">
      <c r="BP236" s="186"/>
    </row>
    <row r="237" spans="68:68" ht="19" customHeight="1" x14ac:dyDescent="0.35">
      <c r="BP237" s="186"/>
    </row>
    <row r="238" spans="68:68" ht="19" customHeight="1" x14ac:dyDescent="0.35">
      <c r="BP238" s="186"/>
    </row>
    <row r="239" spans="68:68" ht="19" customHeight="1" x14ac:dyDescent="0.35">
      <c r="BP239" s="186" t="s">
        <v>154</v>
      </c>
    </row>
    <row r="240" spans="68:68" ht="19" customHeight="1" x14ac:dyDescent="0.35">
      <c r="BP240" s="186" t="s">
        <v>154</v>
      </c>
    </row>
    <row r="241" spans="68:68" ht="19" customHeight="1" x14ac:dyDescent="0.35">
      <c r="BP241" s="186" t="s">
        <v>154</v>
      </c>
    </row>
    <row r="242" spans="68:68" ht="19" customHeight="1" x14ac:dyDescent="0.35">
      <c r="BP242" s="186" t="s">
        <v>154</v>
      </c>
    </row>
    <row r="243" spans="68:68" ht="19" customHeight="1" x14ac:dyDescent="0.35">
      <c r="BP243" s="186" t="s">
        <v>154</v>
      </c>
    </row>
    <row r="244" spans="68:68" ht="19" customHeight="1" x14ac:dyDescent="0.35">
      <c r="BP244" s="186" t="s">
        <v>154</v>
      </c>
    </row>
    <row r="245" spans="68:68" ht="19" customHeight="1" x14ac:dyDescent="0.35">
      <c r="BP245" s="186" t="s">
        <v>154</v>
      </c>
    </row>
    <row r="246" spans="68:68" ht="19" customHeight="1" x14ac:dyDescent="0.35">
      <c r="BP246" s="186" t="s">
        <v>154</v>
      </c>
    </row>
    <row r="247" spans="68:68" ht="19" customHeight="1" x14ac:dyDescent="0.35">
      <c r="BP247" s="186" t="s">
        <v>154</v>
      </c>
    </row>
    <row r="248" spans="68:68" ht="19" customHeight="1" x14ac:dyDescent="0.35">
      <c r="BP248" s="186" t="s">
        <v>154</v>
      </c>
    </row>
    <row r="300" spans="54:80" ht="45" customHeight="1" x14ac:dyDescent="0.35">
      <c r="BB300" s="481" t="s">
        <v>736</v>
      </c>
      <c r="BC300" s="481"/>
      <c r="BD300" s="481"/>
      <c r="BE300" s="481"/>
      <c r="BF300" s="481"/>
      <c r="BG300" s="481"/>
      <c r="BH300" s="481"/>
      <c r="BI300" s="481"/>
      <c r="BJ300" s="481"/>
      <c r="BK300" s="481"/>
      <c r="BL300" s="481"/>
      <c r="BM300" s="481"/>
      <c r="BN300" s="481"/>
      <c r="BO300" s="481"/>
      <c r="BP300" s="481"/>
      <c r="BQ300" s="481"/>
      <c r="BR300" s="481"/>
      <c r="BS300" s="481"/>
      <c r="BT300" s="481"/>
      <c r="BU300" s="481"/>
      <c r="BV300" s="481"/>
      <c r="BW300" s="481"/>
      <c r="BX300" s="481"/>
      <c r="BY300" s="481"/>
      <c r="BZ300" s="481"/>
      <c r="CA300" s="481"/>
      <c r="CB300" s="481"/>
    </row>
    <row r="301" spans="54:80" ht="19" customHeight="1" x14ac:dyDescent="0.35">
      <c r="BP301" s="186"/>
    </row>
    <row r="302" spans="54:80" ht="30" customHeight="1" x14ac:dyDescent="0.35">
      <c r="BB302" s="167"/>
      <c r="BC302" s="167" t="s">
        <v>26</v>
      </c>
      <c r="BD302" s="167" t="s">
        <v>2</v>
      </c>
      <c r="BE302" s="167" t="s">
        <v>22</v>
      </c>
      <c r="BF302" s="167" t="s">
        <v>27</v>
      </c>
      <c r="BG302" s="167" t="s">
        <v>28</v>
      </c>
      <c r="BH302" s="167" t="s">
        <v>29</v>
      </c>
      <c r="BI302" s="167" t="s">
        <v>30</v>
      </c>
      <c r="BJ302" s="167" t="s">
        <v>31</v>
      </c>
      <c r="BK302" s="167" t="s">
        <v>32</v>
      </c>
      <c r="BL302" s="167" t="s">
        <v>33</v>
      </c>
      <c r="BM302" s="167" t="s">
        <v>34</v>
      </c>
      <c r="BN302" s="167" t="s">
        <v>35</v>
      </c>
      <c r="BO302" s="167" t="s">
        <v>36</v>
      </c>
      <c r="BP302" s="167" t="s">
        <v>37</v>
      </c>
      <c r="BQ302" s="167" t="s">
        <v>38</v>
      </c>
      <c r="BR302" s="167" t="s">
        <v>39</v>
      </c>
      <c r="BS302" s="167" t="s">
        <v>40</v>
      </c>
      <c r="BT302" s="167" t="s">
        <v>41</v>
      </c>
      <c r="BU302" s="167" t="s">
        <v>42</v>
      </c>
      <c r="BV302" s="167" t="s">
        <v>43</v>
      </c>
      <c r="BW302" s="167" t="s">
        <v>44</v>
      </c>
      <c r="BX302" s="167" t="s">
        <v>45</v>
      </c>
      <c r="BY302" s="167" t="s">
        <v>46</v>
      </c>
      <c r="BZ302" s="167" t="s">
        <v>47</v>
      </c>
      <c r="CA302" s="167" t="s">
        <v>48</v>
      </c>
      <c r="CB302" s="167" t="s">
        <v>49</v>
      </c>
    </row>
    <row r="303" spans="54:80" ht="19" customHeight="1" x14ac:dyDescent="0.35">
      <c r="BB303" s="49" t="s">
        <v>726</v>
      </c>
      <c r="BC303" s="160">
        <v>277364</v>
      </c>
      <c r="BD303" s="160">
        <v>271131</v>
      </c>
      <c r="BE303" s="160">
        <v>312780</v>
      </c>
      <c r="BF303" s="160">
        <v>306459</v>
      </c>
      <c r="BG303" s="160">
        <v>322822</v>
      </c>
      <c r="BH303" s="160">
        <v>306415</v>
      </c>
      <c r="BI303" s="160">
        <v>312780</v>
      </c>
      <c r="BJ303" s="160">
        <v>318459</v>
      </c>
      <c r="BK303" s="160">
        <v>304286</v>
      </c>
      <c r="BL303" s="160">
        <v>268696</v>
      </c>
      <c r="BM303" s="160">
        <v>310765</v>
      </c>
      <c r="BN303" s="160">
        <v>323440</v>
      </c>
      <c r="BO303" s="160">
        <v>310711</v>
      </c>
      <c r="BP303" s="160">
        <v>262175</v>
      </c>
      <c r="BQ303" s="160">
        <v>414692</v>
      </c>
      <c r="BR303" s="160">
        <v>425463</v>
      </c>
      <c r="BS303" s="160">
        <v>409856</v>
      </c>
      <c r="BT303" s="160">
        <v>394055</v>
      </c>
      <c r="BU303" s="160">
        <v>498541</v>
      </c>
      <c r="BV303" s="160">
        <v>479619</v>
      </c>
      <c r="BW303" s="160">
        <v>480103</v>
      </c>
      <c r="BX303" s="160">
        <v>487525</v>
      </c>
      <c r="BY303" s="160">
        <v>506625</v>
      </c>
      <c r="BZ303" s="160">
        <v>531183</v>
      </c>
      <c r="CA303" s="160">
        <v>524601</v>
      </c>
      <c r="CB303" s="160">
        <v>427812</v>
      </c>
    </row>
    <row r="304" spans="54:80" ht="19" customHeight="1" x14ac:dyDescent="0.35">
      <c r="BB304" s="49" t="s">
        <v>727</v>
      </c>
      <c r="BC304" s="160">
        <v>176360</v>
      </c>
      <c r="BD304" s="160">
        <v>187244</v>
      </c>
      <c r="BE304" s="160">
        <v>215798</v>
      </c>
      <c r="BF304" s="160">
        <v>200471</v>
      </c>
      <c r="BG304" s="160">
        <v>200845</v>
      </c>
      <c r="BH304" s="160">
        <v>202949</v>
      </c>
      <c r="BI304" s="160">
        <v>215798</v>
      </c>
      <c r="BJ304" s="160">
        <v>213402</v>
      </c>
      <c r="BK304" s="160">
        <v>214415</v>
      </c>
      <c r="BL304" s="160">
        <v>220391</v>
      </c>
      <c r="BM304" s="160">
        <v>243828</v>
      </c>
      <c r="BN304" s="160">
        <v>219039</v>
      </c>
      <c r="BO304" s="160">
        <v>228692</v>
      </c>
      <c r="BP304" s="160">
        <v>226248</v>
      </c>
      <c r="BQ304" s="160">
        <v>246676</v>
      </c>
      <c r="BR304" s="160">
        <v>241655</v>
      </c>
      <c r="BS304" s="160">
        <v>221471</v>
      </c>
      <c r="BT304" s="160">
        <v>214718</v>
      </c>
      <c r="BU304" s="160">
        <v>215043</v>
      </c>
      <c r="BV304" s="160">
        <v>215325</v>
      </c>
      <c r="BW304" s="160">
        <v>199451</v>
      </c>
      <c r="BX304" s="160">
        <v>202065</v>
      </c>
      <c r="BY304" s="160">
        <v>203055</v>
      </c>
      <c r="BZ304" s="160">
        <v>197520</v>
      </c>
      <c r="CA304" s="160">
        <v>189617</v>
      </c>
      <c r="CB304" s="160">
        <v>189833</v>
      </c>
    </row>
    <row r="305" spans="54:80" ht="19" customHeight="1" x14ac:dyDescent="0.35">
      <c r="BB305" s="49" t="s">
        <v>728</v>
      </c>
      <c r="BC305" s="160">
        <v>62643</v>
      </c>
      <c r="BD305" s="160">
        <v>54984</v>
      </c>
      <c r="BE305" s="160">
        <v>92453</v>
      </c>
      <c r="BF305" s="160">
        <v>83445</v>
      </c>
      <c r="BG305" s="160">
        <v>83446</v>
      </c>
      <c r="BH305" s="160">
        <v>83446</v>
      </c>
      <c r="BI305" s="160">
        <v>92453</v>
      </c>
      <c r="BJ305" s="160">
        <v>92407</v>
      </c>
      <c r="BK305" s="160">
        <v>94393</v>
      </c>
      <c r="BL305" s="160">
        <v>94399</v>
      </c>
      <c r="BM305" s="160">
        <v>91736</v>
      </c>
      <c r="BN305" s="160">
        <v>92000</v>
      </c>
      <c r="BO305" s="160">
        <v>89918</v>
      </c>
      <c r="BP305" s="160">
        <v>89917</v>
      </c>
      <c r="BQ305" s="160">
        <v>89298</v>
      </c>
      <c r="BR305" s="160">
        <v>89298</v>
      </c>
      <c r="BS305" s="160">
        <v>89298</v>
      </c>
      <c r="BT305" s="160">
        <v>89298</v>
      </c>
      <c r="BU305" s="160">
        <v>61144</v>
      </c>
      <c r="BV305" s="160">
        <v>61144</v>
      </c>
      <c r="BW305" s="160">
        <v>61145</v>
      </c>
      <c r="BX305" s="160">
        <v>61144</v>
      </c>
      <c r="BY305" s="160">
        <v>75743</v>
      </c>
      <c r="BZ305" s="160">
        <v>75742</v>
      </c>
      <c r="CA305" s="160">
        <v>75742</v>
      </c>
      <c r="CB305" s="160">
        <v>75742</v>
      </c>
    </row>
    <row r="306" spans="54:80" ht="19" customHeight="1" x14ac:dyDescent="0.35">
      <c r="BB306" s="49" t="s">
        <v>729</v>
      </c>
      <c r="BC306" s="160">
        <v>585257</v>
      </c>
      <c r="BD306" s="160">
        <v>593620</v>
      </c>
      <c r="BE306" s="160">
        <v>523810</v>
      </c>
      <c r="BF306" s="160">
        <v>481447</v>
      </c>
      <c r="BG306" s="160">
        <v>489394</v>
      </c>
      <c r="BH306" s="160">
        <v>319240</v>
      </c>
      <c r="BI306" s="160">
        <v>523810</v>
      </c>
      <c r="BJ306" s="160">
        <v>434033</v>
      </c>
      <c r="BK306" s="160">
        <v>132881</v>
      </c>
      <c r="BL306" s="160">
        <v>63761</v>
      </c>
      <c r="BM306" s="160">
        <v>119014</v>
      </c>
      <c r="BN306" s="160">
        <v>107621</v>
      </c>
      <c r="BO306" s="160">
        <v>141020</v>
      </c>
      <c r="BP306" s="160">
        <v>110319</v>
      </c>
      <c r="BQ306" s="160">
        <v>103977</v>
      </c>
      <c r="BR306" s="160">
        <v>195796</v>
      </c>
      <c r="BS306" s="160">
        <v>136051</v>
      </c>
      <c r="BT306" s="160">
        <v>93764</v>
      </c>
      <c r="BU306" s="160">
        <v>60521</v>
      </c>
      <c r="BV306" s="160">
        <v>800388</v>
      </c>
      <c r="BW306" s="160">
        <v>323914</v>
      </c>
      <c r="BX306" s="160">
        <v>39332</v>
      </c>
      <c r="BY306" s="160">
        <v>669914</v>
      </c>
      <c r="BZ306" s="160">
        <v>193868</v>
      </c>
      <c r="CA306" s="160">
        <v>251066</v>
      </c>
      <c r="CB306" s="160">
        <v>381937</v>
      </c>
    </row>
    <row r="307" spans="54:80" ht="19" customHeight="1" x14ac:dyDescent="0.35">
      <c r="BB307" s="49" t="s">
        <v>730</v>
      </c>
      <c r="BC307" s="160">
        <v>108404</v>
      </c>
      <c r="BD307" s="160">
        <v>108403</v>
      </c>
      <c r="BE307" s="160">
        <v>122333</v>
      </c>
      <c r="BF307" s="160">
        <v>134839</v>
      </c>
      <c r="BG307" s="160">
        <v>134838</v>
      </c>
      <c r="BH307" s="160">
        <v>134839</v>
      </c>
      <c r="BI307" s="160">
        <v>122333</v>
      </c>
      <c r="BJ307" s="160">
        <v>116080</v>
      </c>
      <c r="BK307" s="160">
        <v>116081</v>
      </c>
      <c r="BL307" s="160">
        <v>113113</v>
      </c>
      <c r="BM307" s="160">
        <v>126923</v>
      </c>
      <c r="BN307" s="160">
        <v>127894</v>
      </c>
      <c r="BO307" s="160">
        <v>127895</v>
      </c>
      <c r="BP307" s="160">
        <v>127894</v>
      </c>
      <c r="BQ307" s="160">
        <v>143574</v>
      </c>
      <c r="BR307" s="160">
        <v>151414</v>
      </c>
      <c r="BS307" s="160">
        <v>151413</v>
      </c>
      <c r="BT307" s="160">
        <v>151414</v>
      </c>
      <c r="BU307" s="160">
        <v>114138</v>
      </c>
      <c r="BV307" s="160">
        <v>95500</v>
      </c>
      <c r="BW307" s="160">
        <v>95500</v>
      </c>
      <c r="BX307" s="160">
        <v>95500</v>
      </c>
      <c r="BY307" s="160">
        <v>83789</v>
      </c>
      <c r="BZ307" s="160">
        <v>77933</v>
      </c>
      <c r="CA307" s="160">
        <v>77933</v>
      </c>
      <c r="CB307" s="160">
        <v>77933</v>
      </c>
    </row>
    <row r="308" spans="54:80" ht="19" customHeight="1" x14ac:dyDescent="0.35">
      <c r="BB308" s="49" t="s">
        <v>731</v>
      </c>
      <c r="BC308" s="160">
        <v>26620</v>
      </c>
      <c r="BD308" s="160">
        <v>26328</v>
      </c>
      <c r="BE308" s="160">
        <v>124309</v>
      </c>
      <c r="BF308" s="160">
        <v>48827</v>
      </c>
      <c r="BG308" s="160">
        <v>132433</v>
      </c>
      <c r="BH308" s="160">
        <v>121982</v>
      </c>
      <c r="BI308" s="160">
        <v>124309</v>
      </c>
      <c r="BJ308" s="160">
        <v>124309</v>
      </c>
      <c r="BK308" s="160">
        <v>122958</v>
      </c>
      <c r="BL308" s="160">
        <v>127290</v>
      </c>
      <c r="BM308" s="160">
        <v>128695</v>
      </c>
      <c r="BN308" s="160">
        <v>128695</v>
      </c>
      <c r="BO308" s="160">
        <v>127295</v>
      </c>
      <c r="BP308" s="160">
        <v>125429</v>
      </c>
      <c r="BQ308" s="160">
        <v>128055</v>
      </c>
      <c r="BR308" s="160">
        <v>128054</v>
      </c>
      <c r="BS308" s="160">
        <v>126663</v>
      </c>
      <c r="BT308" s="160">
        <v>110083</v>
      </c>
      <c r="BU308" s="160">
        <v>111317</v>
      </c>
      <c r="BV308" s="160">
        <v>111317</v>
      </c>
      <c r="BW308" s="160">
        <v>110107</v>
      </c>
      <c r="BX308" s="160">
        <v>84987</v>
      </c>
      <c r="BY308" s="160">
        <v>85142</v>
      </c>
      <c r="BZ308" s="160">
        <v>85142</v>
      </c>
      <c r="CA308" s="160">
        <v>84216</v>
      </c>
      <c r="CB308" s="160">
        <v>79176</v>
      </c>
    </row>
    <row r="309" spans="54:80" ht="19" customHeight="1" x14ac:dyDescent="0.35">
      <c r="BB309" s="49" t="s">
        <v>732</v>
      </c>
      <c r="BC309" s="160">
        <v>1064799</v>
      </c>
      <c r="BD309" s="160">
        <v>1260776</v>
      </c>
      <c r="BE309" s="160">
        <v>1302137</v>
      </c>
      <c r="BF309" s="160">
        <v>1274192</v>
      </c>
      <c r="BG309" s="160">
        <v>1046488</v>
      </c>
      <c r="BH309" s="160">
        <v>963255</v>
      </c>
      <c r="BI309" s="160">
        <v>1302137</v>
      </c>
      <c r="BJ309" s="160">
        <v>1225278</v>
      </c>
      <c r="BK309" s="160">
        <v>1035152</v>
      </c>
      <c r="BL309" s="160">
        <v>1001518</v>
      </c>
      <c r="BM309" s="160">
        <v>1043326</v>
      </c>
      <c r="BN309" s="160">
        <v>979149</v>
      </c>
      <c r="BO309" s="160">
        <v>980749</v>
      </c>
      <c r="BP309" s="160">
        <v>937269</v>
      </c>
      <c r="BQ309" s="160">
        <v>970126</v>
      </c>
      <c r="BR309" s="160">
        <v>910654</v>
      </c>
      <c r="BS309" s="160">
        <v>828069</v>
      </c>
      <c r="BT309" s="160">
        <v>625633</v>
      </c>
      <c r="BU309" s="160">
        <v>1991196</v>
      </c>
      <c r="BV309" s="160">
        <v>2091386</v>
      </c>
      <c r="BW309" s="160">
        <v>1036952</v>
      </c>
      <c r="BX309" s="160">
        <v>1122835</v>
      </c>
      <c r="BY309" s="160">
        <v>999894</v>
      </c>
      <c r="BZ309" s="160">
        <v>766561</v>
      </c>
      <c r="CA309" s="160">
        <v>748514</v>
      </c>
      <c r="CB309" s="160">
        <v>819439</v>
      </c>
    </row>
    <row r="310" spans="54:80" ht="19" customHeight="1" x14ac:dyDescent="0.35">
      <c r="BB310" s="49" t="s">
        <v>733</v>
      </c>
      <c r="BC310" s="160">
        <v>1968106</v>
      </c>
      <c r="BD310" s="160">
        <v>1781732</v>
      </c>
      <c r="BE310" s="160">
        <v>1573303</v>
      </c>
      <c r="BF310" s="160">
        <v>2118118</v>
      </c>
      <c r="BG310" s="160">
        <v>1656838</v>
      </c>
      <c r="BH310" s="160">
        <v>1511636</v>
      </c>
      <c r="BI310" s="160">
        <v>1573303</v>
      </c>
      <c r="BJ310" s="160">
        <v>1571941</v>
      </c>
      <c r="BK310" s="160">
        <v>1269988</v>
      </c>
      <c r="BL310" s="160">
        <v>1239531</v>
      </c>
      <c r="BM310" s="160">
        <v>1551187</v>
      </c>
      <c r="BN310" s="160">
        <v>1569959</v>
      </c>
      <c r="BO310" s="160">
        <v>1265440</v>
      </c>
      <c r="BP310" s="160">
        <v>1225659</v>
      </c>
      <c r="BQ310" s="160">
        <v>1616366</v>
      </c>
      <c r="BR310" s="160">
        <v>1853431</v>
      </c>
      <c r="BS310" s="160">
        <v>1302375</v>
      </c>
      <c r="BT310" s="160">
        <v>1230940</v>
      </c>
      <c r="BU310" s="160">
        <v>1320836</v>
      </c>
      <c r="BV310" s="160">
        <v>1596409</v>
      </c>
      <c r="BW310" s="160">
        <v>1023322</v>
      </c>
      <c r="BX310" s="160">
        <v>1035843</v>
      </c>
      <c r="BY310" s="160">
        <v>1090974</v>
      </c>
      <c r="BZ310" s="160">
        <v>1142123</v>
      </c>
      <c r="CA310" s="160">
        <v>900703</v>
      </c>
      <c r="CB310" s="160">
        <v>843106</v>
      </c>
    </row>
    <row r="311" spans="54:80" ht="19" customHeight="1" x14ac:dyDescent="0.35">
      <c r="BB311" s="49" t="s">
        <v>734</v>
      </c>
      <c r="BC311" s="160">
        <v>901198</v>
      </c>
      <c r="BD311" s="160">
        <v>1018078</v>
      </c>
      <c r="BE311" s="160">
        <v>1038791</v>
      </c>
      <c r="BF311" s="160">
        <v>933718</v>
      </c>
      <c r="BG311" s="160">
        <v>846075</v>
      </c>
      <c r="BH311" s="160">
        <v>950867</v>
      </c>
      <c r="BI311" s="160">
        <v>1038791</v>
      </c>
      <c r="BJ311" s="160">
        <v>838210</v>
      </c>
      <c r="BK311" s="160">
        <v>697974</v>
      </c>
      <c r="BL311" s="160">
        <v>663764</v>
      </c>
      <c r="BM311" s="160">
        <v>669582</v>
      </c>
      <c r="BN311" s="160">
        <v>551037</v>
      </c>
      <c r="BO311" s="160">
        <v>491669</v>
      </c>
      <c r="BP311" s="160">
        <v>618732</v>
      </c>
      <c r="BQ311" s="160">
        <v>560802</v>
      </c>
      <c r="BR311" s="160">
        <v>490163</v>
      </c>
      <c r="BS311" s="160">
        <v>472641</v>
      </c>
      <c r="BT311" s="160">
        <v>453589</v>
      </c>
      <c r="BU311" s="160">
        <v>400780</v>
      </c>
      <c r="BV311" s="160">
        <v>338612</v>
      </c>
      <c r="BW311" s="160">
        <v>273757</v>
      </c>
      <c r="BX311" s="160">
        <v>255024</v>
      </c>
      <c r="BY311" s="160">
        <v>192766</v>
      </c>
      <c r="BZ311" s="160">
        <v>157551</v>
      </c>
      <c r="CA311" s="160">
        <v>154315</v>
      </c>
      <c r="CB311" s="160">
        <v>173481</v>
      </c>
    </row>
    <row r="312" spans="54:80" ht="19" customHeight="1" x14ac:dyDescent="0.35">
      <c r="BB312" s="74" t="s">
        <v>735</v>
      </c>
      <c r="BC312" s="193">
        <v>-385494</v>
      </c>
      <c r="BD312" s="193">
        <v>-387268</v>
      </c>
      <c r="BE312" s="193">
        <v>-382801</v>
      </c>
      <c r="BF312" s="193">
        <v>-418449</v>
      </c>
      <c r="BG312" s="193">
        <v>-365876</v>
      </c>
      <c r="BH312" s="193">
        <v>-328003</v>
      </c>
      <c r="BI312" s="193">
        <v>-382801</v>
      </c>
      <c r="BJ312" s="193">
        <v>-367018</v>
      </c>
      <c r="BK312" s="193">
        <v>-294901</v>
      </c>
      <c r="BL312" s="193">
        <v>-281831</v>
      </c>
      <c r="BM312" s="193">
        <v>-327906</v>
      </c>
      <c r="BN312" s="193">
        <v>-320354</v>
      </c>
      <c r="BO312" s="193">
        <v>-294996</v>
      </c>
      <c r="BP312" s="193">
        <v>-279575</v>
      </c>
      <c r="BQ312" s="193">
        <v>-334599</v>
      </c>
      <c r="BR312" s="193">
        <v>-360253</v>
      </c>
      <c r="BS312" s="193">
        <v>-291876</v>
      </c>
      <c r="BT312" s="193">
        <v>-260112</v>
      </c>
      <c r="BU312" s="193">
        <v>-391915</v>
      </c>
      <c r="BV312" s="193">
        <v>-487395</v>
      </c>
      <c r="BW312" s="193">
        <v>-295017</v>
      </c>
      <c r="BX312" s="193">
        <v>-276141</v>
      </c>
      <c r="BY312" s="193">
        <v>-324825</v>
      </c>
      <c r="BZ312" s="193">
        <v>-268944</v>
      </c>
      <c r="CA312" s="193">
        <v>-251469</v>
      </c>
      <c r="CB312" s="193">
        <v>-253964</v>
      </c>
    </row>
    <row r="313" spans="54:80" ht="25" customHeight="1" x14ac:dyDescent="0.35">
      <c r="BB313" s="194"/>
      <c r="BC313" s="195">
        <f t="shared" ref="BC313:BD313" si="1">SUM(BC303:BC312)</f>
        <v>4785257</v>
      </c>
      <c r="BD313" s="195">
        <f t="shared" si="1"/>
        <v>4915028</v>
      </c>
      <c r="BE313" s="195">
        <f>SUM(BE303:BE312)</f>
        <v>4922913</v>
      </c>
      <c r="BF313" s="195">
        <f t="shared" ref="BF313:CB313" si="2">SUM(BF303:BF312)</f>
        <v>5163067</v>
      </c>
      <c r="BG313" s="195">
        <f t="shared" si="2"/>
        <v>4547303</v>
      </c>
      <c r="BH313" s="195">
        <f t="shared" si="2"/>
        <v>4266626</v>
      </c>
      <c r="BI313" s="195">
        <f t="shared" si="2"/>
        <v>4922913</v>
      </c>
      <c r="BJ313" s="195">
        <f t="shared" si="2"/>
        <v>4567101</v>
      </c>
      <c r="BK313" s="195">
        <f t="shared" si="2"/>
        <v>3693227</v>
      </c>
      <c r="BL313" s="195">
        <f t="shared" si="2"/>
        <v>3510632</v>
      </c>
      <c r="BM313" s="195">
        <f t="shared" si="2"/>
        <v>3957150</v>
      </c>
      <c r="BN313" s="195">
        <f t="shared" si="2"/>
        <v>3778480</v>
      </c>
      <c r="BO313" s="195">
        <f t="shared" si="2"/>
        <v>3468393</v>
      </c>
      <c r="BP313" s="195">
        <f t="shared" si="2"/>
        <v>3444067</v>
      </c>
      <c r="BQ313" s="195">
        <f t="shared" si="2"/>
        <v>3938967</v>
      </c>
      <c r="BR313" s="195">
        <f t="shared" si="2"/>
        <v>4125675</v>
      </c>
      <c r="BS313" s="195">
        <f t="shared" si="2"/>
        <v>3445961</v>
      </c>
      <c r="BT313" s="195">
        <f t="shared" si="2"/>
        <v>3103382</v>
      </c>
      <c r="BU313" s="195">
        <f t="shared" si="2"/>
        <v>4381601</v>
      </c>
      <c r="BV313" s="195">
        <f t="shared" si="2"/>
        <v>5302305</v>
      </c>
      <c r="BW313" s="195">
        <f t="shared" si="2"/>
        <v>3309234</v>
      </c>
      <c r="BX313" s="195">
        <f t="shared" si="2"/>
        <v>3108114</v>
      </c>
      <c r="BY313" s="195">
        <f t="shared" si="2"/>
        <v>3583077</v>
      </c>
      <c r="BZ313" s="195">
        <f t="shared" si="2"/>
        <v>2958679</v>
      </c>
      <c r="CA313" s="195">
        <f t="shared" si="2"/>
        <v>2755238</v>
      </c>
      <c r="CB313" s="195">
        <f t="shared" si="2"/>
        <v>2814495</v>
      </c>
    </row>
    <row r="900" spans="2:4" ht="19" customHeight="1" x14ac:dyDescent="0.35">
      <c r="B900" s="492"/>
      <c r="C900" s="492"/>
      <c r="D900" s="492"/>
    </row>
    <row r="901" spans="2:4" ht="19" customHeight="1" x14ac:dyDescent="0.35">
      <c r="B901" s="185"/>
      <c r="C901" s="185"/>
      <c r="D901" s="185"/>
    </row>
    <row r="902" spans="2:4" ht="19" customHeight="1" x14ac:dyDescent="0.35">
      <c r="B902" s="492"/>
      <c r="C902" s="492"/>
      <c r="D902" s="187"/>
    </row>
  </sheetData>
  <mergeCells count="4">
    <mergeCell ref="B4:E4"/>
    <mergeCell ref="B900:D900"/>
    <mergeCell ref="B902:C902"/>
    <mergeCell ref="BB300:CB300"/>
  </mergeCells>
  <pageMargins left="0.511811024" right="0.511811024" top="0.78740157499999996" bottom="0.78740157499999996" header="0.31496062000000002" footer="0.31496062000000002"/>
  <ignoredErrors>
    <ignoredError sqref="C17:D17" formulaRange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5699C-F781-4EE0-976B-B1DF94D4F1E4}">
  <sheetPr>
    <tabColor rgb="FF17772E"/>
  </sheetPr>
  <dimension ref="B5:P29"/>
  <sheetViews>
    <sheetView showGridLines="0" zoomScale="115" zoomScaleNormal="115" workbookViewId="0"/>
  </sheetViews>
  <sheetFormatPr defaultRowHeight="14.5" x14ac:dyDescent="0.35"/>
  <cols>
    <col min="1" max="1" width="2.54296875" customWidth="1"/>
    <col min="2" max="2" width="40.54296875" customWidth="1"/>
    <col min="3" max="3" width="15.54296875" customWidth="1"/>
    <col min="4" max="4" width="14.54296875" customWidth="1"/>
    <col min="5" max="8" width="15.54296875" customWidth="1"/>
  </cols>
  <sheetData>
    <row r="5" spans="2:16" ht="45" customHeight="1" x14ac:dyDescent="0.35">
      <c r="B5" s="478" t="s">
        <v>737</v>
      </c>
      <c r="C5" s="478"/>
      <c r="D5" s="478"/>
      <c r="E5" s="478"/>
      <c r="F5" s="478"/>
      <c r="G5" s="478"/>
      <c r="H5" s="478"/>
      <c r="I5" s="29"/>
      <c r="J5" s="29"/>
      <c r="K5" s="29"/>
      <c r="L5" s="29"/>
      <c r="M5" s="29"/>
      <c r="N5" s="29"/>
      <c r="O5" s="29"/>
      <c r="P5" s="29"/>
    </row>
    <row r="6" spans="2:16" ht="10" customHeight="1" x14ac:dyDescent="0.35"/>
    <row r="7" spans="2:16" ht="30" customHeight="1" x14ac:dyDescent="0.35">
      <c r="B7" s="524" t="s">
        <v>853</v>
      </c>
      <c r="C7" s="524"/>
      <c r="D7" s="524"/>
      <c r="E7" s="524"/>
      <c r="F7" s="524"/>
      <c r="G7" s="524"/>
      <c r="H7" s="524"/>
      <c r="I7" s="206"/>
      <c r="J7" s="206"/>
      <c r="K7" s="206"/>
      <c r="L7" s="206"/>
      <c r="M7" s="206"/>
      <c r="N7" s="206"/>
      <c r="O7" s="206"/>
      <c r="P7" s="206"/>
    </row>
    <row r="8" spans="2:16" ht="34" customHeight="1" x14ac:dyDescent="0.35">
      <c r="B8" s="320"/>
      <c r="C8" s="320" t="s">
        <v>738</v>
      </c>
      <c r="D8" s="320" t="s">
        <v>739</v>
      </c>
      <c r="E8" s="320" t="s">
        <v>740</v>
      </c>
      <c r="F8" s="320" t="s">
        <v>741</v>
      </c>
      <c r="G8" s="320" t="s">
        <v>143</v>
      </c>
      <c r="H8" s="320" t="s">
        <v>742</v>
      </c>
    </row>
    <row r="9" spans="2:16" ht="25" customHeight="1" x14ac:dyDescent="0.35">
      <c r="B9" s="159" t="s">
        <v>655</v>
      </c>
      <c r="C9" s="277"/>
      <c r="D9" s="277"/>
      <c r="E9" s="321">
        <f>SUM(E10:E14)</f>
        <v>1350416</v>
      </c>
      <c r="F9" s="321">
        <f>SUM(F10:F14)</f>
        <v>90054</v>
      </c>
      <c r="G9" s="321">
        <f>SUM(G10:G14)</f>
        <v>1440470</v>
      </c>
      <c r="H9" s="269"/>
    </row>
    <row r="10" spans="2:16" ht="20.149999999999999" customHeight="1" x14ac:dyDescent="0.35">
      <c r="B10" s="36" t="s">
        <v>743</v>
      </c>
      <c r="C10" s="273" t="s">
        <v>744</v>
      </c>
      <c r="D10" s="273" t="s">
        <v>791</v>
      </c>
      <c r="E10" s="322">
        <v>1264353</v>
      </c>
      <c r="F10" s="322">
        <v>92311</v>
      </c>
      <c r="G10" s="322">
        <f>SUM(E10:F10)</f>
        <v>1356664</v>
      </c>
      <c r="H10" s="323">
        <v>52201</v>
      </c>
    </row>
    <row r="11" spans="2:16" ht="20.149999999999999" customHeight="1" x14ac:dyDescent="0.35">
      <c r="B11" s="36" t="s">
        <v>789</v>
      </c>
      <c r="C11" s="273" t="s">
        <v>745</v>
      </c>
      <c r="D11" s="273" t="s">
        <v>792</v>
      </c>
      <c r="E11" s="322">
        <v>51494</v>
      </c>
      <c r="F11" s="322">
        <v>-874</v>
      </c>
      <c r="G11" s="322">
        <f t="shared" ref="G11:G12" si="0">SUM(E11:F11)</f>
        <v>50620</v>
      </c>
      <c r="H11" s="323">
        <v>47757</v>
      </c>
    </row>
    <row r="12" spans="2:16" ht="20.149999999999999" customHeight="1" x14ac:dyDescent="0.35">
      <c r="B12" s="36" t="s">
        <v>746</v>
      </c>
      <c r="C12" s="273" t="s">
        <v>747</v>
      </c>
      <c r="D12" s="273" t="s">
        <v>790</v>
      </c>
      <c r="E12" s="322">
        <v>15775</v>
      </c>
      <c r="F12" s="322">
        <v>-453</v>
      </c>
      <c r="G12" s="322">
        <f t="shared" si="0"/>
        <v>15322</v>
      </c>
      <c r="H12" s="323">
        <v>49369</v>
      </c>
    </row>
    <row r="13" spans="2:16" ht="20.149999999999999" customHeight="1" x14ac:dyDescent="0.35">
      <c r="B13" s="36" t="s">
        <v>748</v>
      </c>
      <c r="C13" s="273" t="s">
        <v>749</v>
      </c>
      <c r="D13" s="273" t="s">
        <v>445</v>
      </c>
      <c r="E13" s="322">
        <v>12478</v>
      </c>
      <c r="F13" s="322">
        <v>-101</v>
      </c>
      <c r="G13" s="322">
        <f>SUM(E13:F13)</f>
        <v>12377</v>
      </c>
      <c r="H13" s="323">
        <v>51653</v>
      </c>
    </row>
    <row r="14" spans="2:16" ht="20.149999999999999" customHeight="1" x14ac:dyDescent="0.35">
      <c r="B14" s="414" t="s">
        <v>788</v>
      </c>
      <c r="C14" s="415" t="s">
        <v>820</v>
      </c>
      <c r="D14" s="415" t="s">
        <v>445</v>
      </c>
      <c r="E14" s="416">
        <v>6316</v>
      </c>
      <c r="F14" s="416">
        <v>-829</v>
      </c>
      <c r="G14" s="322">
        <f>SUM(E14:F14)</f>
        <v>5487</v>
      </c>
      <c r="H14" s="417">
        <v>51867</v>
      </c>
    </row>
    <row r="15" spans="2:16" ht="23.15" customHeight="1" x14ac:dyDescent="0.35">
      <c r="B15" s="319" t="s">
        <v>750</v>
      </c>
      <c r="C15" s="284"/>
      <c r="D15" s="284"/>
      <c r="E15" s="324">
        <v>956248.75394800003</v>
      </c>
      <c r="F15" s="324">
        <v>-35288.184133599992</v>
      </c>
      <c r="G15" s="324">
        <v>920960.56981440005</v>
      </c>
      <c r="H15" s="284"/>
    </row>
    <row r="16" spans="2:16" ht="24.65" customHeight="1" x14ac:dyDescent="0.35">
      <c r="B16" s="86" t="s">
        <v>751</v>
      </c>
      <c r="C16" s="325"/>
      <c r="D16" s="325"/>
      <c r="E16" s="325"/>
      <c r="F16" s="325"/>
      <c r="G16" s="326">
        <f>SUM(G15,G9)</f>
        <v>2361430.5698143998</v>
      </c>
      <c r="H16" s="325"/>
    </row>
    <row r="20" spans="2:8" ht="30" customHeight="1" x14ac:dyDescent="0.35">
      <c r="B20" s="524" t="s">
        <v>854</v>
      </c>
      <c r="C20" s="524"/>
      <c r="D20" s="524"/>
      <c r="E20" s="524"/>
      <c r="F20" s="524"/>
      <c r="G20" s="524"/>
      <c r="H20" s="330"/>
    </row>
    <row r="21" spans="2:8" ht="30" customHeight="1" x14ac:dyDescent="0.35">
      <c r="B21" s="320"/>
      <c r="C21" s="320" t="s">
        <v>752</v>
      </c>
      <c r="D21" s="320" t="s">
        <v>753</v>
      </c>
      <c r="E21" s="320" t="s">
        <v>754</v>
      </c>
      <c r="F21" s="320" t="s">
        <v>755</v>
      </c>
      <c r="G21" s="320" t="s">
        <v>756</v>
      </c>
      <c r="H21" s="327"/>
    </row>
    <row r="22" spans="2:8" ht="19" customHeight="1" x14ac:dyDescent="0.35">
      <c r="B22" s="36" t="s">
        <v>757</v>
      </c>
      <c r="C22" s="322">
        <v>117746</v>
      </c>
      <c r="D22" s="322">
        <v>117191</v>
      </c>
      <c r="E22" s="322">
        <v>117191</v>
      </c>
      <c r="F22" s="322">
        <v>36918</v>
      </c>
      <c r="G22" s="322">
        <v>36918</v>
      </c>
      <c r="H22" s="328"/>
    </row>
    <row r="23" spans="2:8" ht="19" customHeight="1" x14ac:dyDescent="0.35">
      <c r="B23" s="36" t="s">
        <v>758</v>
      </c>
      <c r="C23" s="322">
        <v>312781</v>
      </c>
      <c r="D23" s="322">
        <v>312781</v>
      </c>
      <c r="E23" s="322">
        <v>312781</v>
      </c>
      <c r="F23" s="322"/>
      <c r="G23" s="322"/>
      <c r="H23" s="328"/>
    </row>
    <row r="24" spans="2:8" ht="25" customHeight="1" x14ac:dyDescent="0.35">
      <c r="B24" s="86" t="s">
        <v>440</v>
      </c>
      <c r="C24" s="326">
        <f>SUM(C22:C23)</f>
        <v>430527</v>
      </c>
      <c r="D24" s="326">
        <f t="shared" ref="D24:G24" si="1">SUM(D22:D23)</f>
        <v>429972</v>
      </c>
      <c r="E24" s="326">
        <f t="shared" si="1"/>
        <v>429972</v>
      </c>
      <c r="F24" s="326">
        <f t="shared" si="1"/>
        <v>36918</v>
      </c>
      <c r="G24" s="326">
        <f t="shared" si="1"/>
        <v>36918</v>
      </c>
      <c r="H24" s="329"/>
    </row>
    <row r="26" spans="2:8" x14ac:dyDescent="0.35">
      <c r="B26" s="84" t="s">
        <v>759</v>
      </c>
    </row>
    <row r="27" spans="2:8" ht="6" customHeight="1" x14ac:dyDescent="0.35">
      <c r="B27" s="84"/>
    </row>
    <row r="28" spans="2:8" x14ac:dyDescent="0.35">
      <c r="B28" s="84" t="s">
        <v>793</v>
      </c>
    </row>
    <row r="29" spans="2:8" x14ac:dyDescent="0.35">
      <c r="B29" s="84" t="s">
        <v>794</v>
      </c>
    </row>
  </sheetData>
  <mergeCells count="3">
    <mergeCell ref="B7:H7"/>
    <mergeCell ref="B5:H5"/>
    <mergeCell ref="B20:G20"/>
  </mergeCells>
  <pageMargins left="0.511811024" right="0.511811024" top="0.78740157499999996" bottom="0.78740157499999996" header="0.31496062000000002" footer="0.31496062000000002"/>
  <ignoredErrors>
    <ignoredError sqref="E9:F9" formulaRange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F262-D915-46B9-A671-FC444AE0D18F}">
  <sheetPr>
    <tabColor rgb="FF17772E"/>
  </sheetPr>
  <dimension ref="B5:I27"/>
  <sheetViews>
    <sheetView showGridLines="0" workbookViewId="0"/>
  </sheetViews>
  <sheetFormatPr defaultRowHeight="14.5" x14ac:dyDescent="0.35"/>
  <cols>
    <col min="1" max="1" width="2.54296875" customWidth="1"/>
    <col min="2" max="2" width="48.26953125" customWidth="1"/>
    <col min="3" max="4" width="27.54296875" customWidth="1"/>
  </cols>
  <sheetData>
    <row r="5" spans="2:9" ht="45" customHeight="1" x14ac:dyDescent="0.35">
      <c r="B5" s="478" t="s">
        <v>760</v>
      </c>
      <c r="C5" s="478"/>
      <c r="D5" s="478"/>
      <c r="E5" s="29"/>
      <c r="F5" s="29"/>
      <c r="G5" s="29"/>
      <c r="H5" s="29"/>
      <c r="I5" s="29"/>
    </row>
    <row r="6" spans="2:9" ht="10" customHeight="1" x14ac:dyDescent="0.35"/>
    <row r="7" spans="2:9" ht="34" customHeight="1" x14ac:dyDescent="0.35">
      <c r="B7" s="343" t="s">
        <v>761</v>
      </c>
      <c r="C7" s="320">
        <v>2018</v>
      </c>
      <c r="D7" s="320">
        <v>2023</v>
      </c>
    </row>
    <row r="8" spans="2:9" ht="19" customHeight="1" x14ac:dyDescent="0.35">
      <c r="B8" s="36" t="s">
        <v>852</v>
      </c>
      <c r="C8" s="341">
        <v>20490</v>
      </c>
      <c r="D8" s="341">
        <v>25587</v>
      </c>
    </row>
    <row r="9" spans="2:9" ht="19" customHeight="1" x14ac:dyDescent="0.35">
      <c r="B9" s="36" t="s">
        <v>851</v>
      </c>
      <c r="C9" s="341">
        <v>8906</v>
      </c>
      <c r="D9" s="341">
        <v>15200</v>
      </c>
    </row>
    <row r="10" spans="2:9" ht="19" customHeight="1" x14ac:dyDescent="0.35">
      <c r="B10" s="36" t="s">
        <v>762</v>
      </c>
      <c r="C10" s="342">
        <v>3.8399999999999997E-2</v>
      </c>
      <c r="D10" s="342">
        <v>3.95E-2</v>
      </c>
    </row>
    <row r="11" spans="2:9" ht="19" customHeight="1" x14ac:dyDescent="0.35">
      <c r="B11" s="36" t="s">
        <v>763</v>
      </c>
      <c r="C11" s="342">
        <v>8.09E-2</v>
      </c>
      <c r="D11" s="342">
        <v>7.4300000000000005E-2</v>
      </c>
    </row>
    <row r="12" spans="2:9" ht="19" customHeight="1" x14ac:dyDescent="0.35">
      <c r="B12" s="36" t="s">
        <v>764</v>
      </c>
      <c r="C12" s="273">
        <v>149</v>
      </c>
      <c r="D12" s="273">
        <v>274</v>
      </c>
    </row>
    <row r="13" spans="2:9" ht="19" customHeight="1" x14ac:dyDescent="0.35">
      <c r="B13" s="36" t="s">
        <v>765</v>
      </c>
      <c r="C13" s="273">
        <v>333</v>
      </c>
      <c r="D13" s="273">
        <v>486</v>
      </c>
    </row>
    <row r="14" spans="2:9" ht="19" customHeight="1" x14ac:dyDescent="0.35">
      <c r="B14" s="36" t="s">
        <v>766</v>
      </c>
      <c r="C14" s="273">
        <v>787</v>
      </c>
      <c r="D14" s="273">
        <v>1011</v>
      </c>
    </row>
    <row r="15" spans="2:9" ht="23.15" customHeight="1" thickBot="1" x14ac:dyDescent="0.4">
      <c r="B15" s="346" t="s">
        <v>767</v>
      </c>
      <c r="C15" s="347" t="s">
        <v>768</v>
      </c>
      <c r="D15" s="347" t="s">
        <v>769</v>
      </c>
    </row>
    <row r="16" spans="2:9" ht="15" customHeight="1" x14ac:dyDescent="0.35"/>
    <row r="17" spans="2:4" ht="15" customHeight="1" x14ac:dyDescent="0.35"/>
    <row r="18" spans="2:4" ht="30" customHeight="1" x14ac:dyDescent="0.35">
      <c r="B18" s="524" t="s">
        <v>770</v>
      </c>
      <c r="C18" s="524"/>
      <c r="D18" s="524"/>
    </row>
    <row r="19" spans="2:4" ht="30" customHeight="1" x14ac:dyDescent="0.35">
      <c r="B19" s="320" t="s">
        <v>771</v>
      </c>
      <c r="C19" s="320" t="s">
        <v>772</v>
      </c>
      <c r="D19" s="320" t="s">
        <v>773</v>
      </c>
    </row>
    <row r="20" spans="2:4" ht="19" customHeight="1" x14ac:dyDescent="0.35">
      <c r="B20" s="344">
        <v>5.21E-2</v>
      </c>
      <c r="C20" s="345">
        <v>9.4299999999999995E-2</v>
      </c>
      <c r="D20" s="345">
        <v>6.5000000000000002E-2</v>
      </c>
    </row>
    <row r="21" spans="2:4" ht="23.15" customHeight="1" thickBot="1" x14ac:dyDescent="0.4">
      <c r="B21" s="346" t="s">
        <v>774</v>
      </c>
      <c r="C21" s="525" t="s">
        <v>819</v>
      </c>
      <c r="D21" s="525"/>
    </row>
    <row r="22" spans="2:4" ht="15" customHeight="1" x14ac:dyDescent="0.35">
      <c r="B22" s="74"/>
      <c r="C22" s="348"/>
      <c r="D22" s="348"/>
    </row>
    <row r="23" spans="2:4" ht="15" customHeight="1" x14ac:dyDescent="0.35"/>
    <row r="24" spans="2:4" ht="30" customHeight="1" x14ac:dyDescent="0.35">
      <c r="B24" s="524" t="s">
        <v>775</v>
      </c>
      <c r="C24" s="524"/>
      <c r="D24" s="524"/>
    </row>
    <row r="25" spans="2:4" ht="30.65" customHeight="1" x14ac:dyDescent="0.35">
      <c r="B25" s="320" t="s">
        <v>771</v>
      </c>
      <c r="C25" s="320" t="s">
        <v>772</v>
      </c>
      <c r="D25" s="320" t="s">
        <v>773</v>
      </c>
    </row>
    <row r="26" spans="2:4" ht="19" customHeight="1" x14ac:dyDescent="0.35">
      <c r="B26" s="344">
        <v>7.0300000000000001E-2</v>
      </c>
      <c r="C26" s="345">
        <v>9.4500000000000001E-2</v>
      </c>
      <c r="D26" s="345">
        <v>7.7799999999999994E-2</v>
      </c>
    </row>
    <row r="27" spans="2:4" ht="23.15" customHeight="1" thickBot="1" x14ac:dyDescent="0.4">
      <c r="B27" s="346" t="s">
        <v>774</v>
      </c>
      <c r="C27" s="525" t="s">
        <v>776</v>
      </c>
      <c r="D27" s="525"/>
    </row>
  </sheetData>
  <mergeCells count="5">
    <mergeCell ref="C27:D27"/>
    <mergeCell ref="B5:D5"/>
    <mergeCell ref="B18:D18"/>
    <mergeCell ref="C21:D21"/>
    <mergeCell ref="B24:D24"/>
  </mergeCells>
  <hyperlinks>
    <hyperlink ref="C15" r:id="rId1" display="https://www2.aneel.gov.br/aplicacoes/tarifa/arquivo/NT__CEMIG.pdf" xr:uid="{AD906CAD-0F35-4E99-A52C-D081DB193D6D}"/>
    <hyperlink ref="D15" r:id="rId2" display="https://www2.aneel.gov.br/aplicacoes/tarifa/arquivo/NT 12 2023 RTP Cemig.pdf" xr:uid="{BEFB53AC-7ABE-4B99-9005-4B2F3668958A}"/>
    <hyperlink ref="C27" r:id="rId3" display="https://www2.aneel.gov.br/cedoc/areh20253459_1.pdf" xr:uid="{57B4776E-F579-47BF-9B3B-19ED6F6460DB}"/>
    <hyperlink ref="C21" r:id="rId4" display="https://leis.org/aneel/lei/resolucao-homologatoria/2026/3589/resolucao-homologatoria-n-3589-2026-homologa-o-resultado-do-reajuste-tarifario-anual-de-2026-as-tarifas-de-energia-te-e-as-tarifas-de-uso-do-sistema-de-distribuicao-tusd-referentes-a-cemig-distribuicao-sa-cemig-d-e-da-outras/?termo=3589%2F2026" xr:uid="{0E4C35B7-8644-4D9C-AEAE-02C6BAFE3EDC}"/>
  </hyperlinks>
  <pageMargins left="0.511811024" right="0.511811024" top="0.78740157499999996" bottom="0.78740157499999996" header="0.31496062000000002" footer="0.31496062000000002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CDDC-0781-44A6-BA78-0C6D97F134BC}">
  <sheetPr>
    <tabColor rgb="FF17772E"/>
  </sheetPr>
  <dimension ref="B5:L61"/>
  <sheetViews>
    <sheetView showGridLines="0" zoomScale="85" zoomScaleNormal="85" workbookViewId="0"/>
  </sheetViews>
  <sheetFormatPr defaultRowHeight="14.5" x14ac:dyDescent="0.35"/>
  <cols>
    <col min="1" max="1" width="2.54296875" customWidth="1"/>
    <col min="2" max="2" width="42.453125" customWidth="1"/>
    <col min="3" max="3" width="22.54296875" customWidth="1"/>
    <col min="4" max="11" width="15.7265625" customWidth="1"/>
    <col min="12" max="12" width="14.54296875" customWidth="1"/>
  </cols>
  <sheetData>
    <row r="5" spans="2:12" ht="45" customHeight="1" x14ac:dyDescent="0.35">
      <c r="B5" s="481" t="s">
        <v>777</v>
      </c>
      <c r="C5" s="481"/>
      <c r="D5" s="481"/>
      <c r="E5" s="481"/>
      <c r="F5" s="481"/>
      <c r="G5" s="481"/>
      <c r="H5" s="481"/>
      <c r="I5" s="481"/>
      <c r="J5" s="481"/>
      <c r="K5" s="481"/>
    </row>
    <row r="7" spans="2:12" ht="35.15" customHeight="1" x14ac:dyDescent="0.35">
      <c r="B7" s="282" t="s">
        <v>778</v>
      </c>
      <c r="C7" s="188" t="s">
        <v>26</v>
      </c>
      <c r="D7" s="188" t="s">
        <v>2</v>
      </c>
      <c r="E7" s="278">
        <v>2025</v>
      </c>
      <c r="F7" s="278">
        <v>2024</v>
      </c>
      <c r="G7" s="278">
        <v>2023</v>
      </c>
      <c r="H7" s="278">
        <v>2022</v>
      </c>
      <c r="I7" s="278">
        <v>2021</v>
      </c>
      <c r="J7" s="188">
        <v>2020</v>
      </c>
      <c r="K7" s="188">
        <v>2019</v>
      </c>
    </row>
    <row r="8" spans="2:12" ht="25" customHeight="1" x14ac:dyDescent="0.35">
      <c r="B8" s="279" t="s">
        <v>779</v>
      </c>
      <c r="C8" s="277">
        <v>6.87</v>
      </c>
      <c r="D8" s="277">
        <v>6.87</v>
      </c>
      <c r="E8" s="277">
        <v>6.92</v>
      </c>
      <c r="F8" s="277">
        <v>6.31</v>
      </c>
      <c r="G8" s="277">
        <v>6.24</v>
      </c>
      <c r="H8" s="277">
        <v>6.17</v>
      </c>
      <c r="I8" s="277">
        <v>6.14</v>
      </c>
      <c r="J8" s="283">
        <v>6.55</v>
      </c>
      <c r="K8" s="283">
        <v>6.61</v>
      </c>
    </row>
    <row r="9" spans="2:12" ht="25" customHeight="1" x14ac:dyDescent="0.35">
      <c r="B9" s="280" t="s">
        <v>780</v>
      </c>
      <c r="C9" s="407">
        <v>0.114</v>
      </c>
      <c r="D9" s="407">
        <v>0.11409999999999999</v>
      </c>
      <c r="E9" s="407">
        <v>0.1142</v>
      </c>
      <c r="F9" s="407">
        <v>0.1036</v>
      </c>
      <c r="G9" s="407">
        <v>0.1071</v>
      </c>
      <c r="H9" s="407">
        <v>0.1111</v>
      </c>
      <c r="I9" s="407">
        <v>0.1123</v>
      </c>
      <c r="J9" s="408">
        <v>0.12570000000000001</v>
      </c>
      <c r="K9" s="408">
        <v>0.12709999999999999</v>
      </c>
    </row>
    <row r="10" spans="2:12" ht="25" customHeight="1" thickBot="1" x14ac:dyDescent="0.4">
      <c r="B10" s="281" t="s">
        <v>781</v>
      </c>
      <c r="C10" s="405">
        <v>0.1148</v>
      </c>
      <c r="D10" s="405">
        <v>0.1148</v>
      </c>
      <c r="E10" s="405">
        <v>0.11459999999999999</v>
      </c>
      <c r="F10" s="405">
        <v>0.1051</v>
      </c>
      <c r="G10" s="405">
        <v>0.1084</v>
      </c>
      <c r="H10" s="405">
        <v>0.1123</v>
      </c>
      <c r="I10" s="405">
        <v>0.1128</v>
      </c>
      <c r="J10" s="406">
        <v>0.1143</v>
      </c>
      <c r="K10" s="406">
        <v>0.11509999999999999</v>
      </c>
    </row>
    <row r="14" spans="2:12" ht="30" customHeight="1" x14ac:dyDescent="0.35">
      <c r="B14" s="112"/>
      <c r="C14" s="112"/>
      <c r="D14" s="464" t="s">
        <v>246</v>
      </c>
      <c r="E14" s="464" t="s">
        <v>247</v>
      </c>
      <c r="F14" s="183">
        <v>2025</v>
      </c>
      <c r="G14" s="183">
        <v>2024</v>
      </c>
      <c r="H14" s="183">
        <v>2023</v>
      </c>
      <c r="I14" s="183">
        <v>2022</v>
      </c>
      <c r="J14" s="183">
        <v>2021</v>
      </c>
      <c r="K14" s="183">
        <v>2020</v>
      </c>
      <c r="L14" s="437">
        <v>2019</v>
      </c>
    </row>
    <row r="15" spans="2:12" ht="40" customHeight="1" x14ac:dyDescent="0.35">
      <c r="B15" s="529" t="s">
        <v>856</v>
      </c>
      <c r="C15" s="409" t="s">
        <v>782</v>
      </c>
      <c r="D15" s="465">
        <v>8.43</v>
      </c>
      <c r="E15" s="157">
        <v>8.75</v>
      </c>
      <c r="F15" s="157">
        <v>8.9700000000000006</v>
      </c>
      <c r="G15" s="157">
        <v>9.4600000000000009</v>
      </c>
      <c r="H15" s="157">
        <v>9.7100000000000009</v>
      </c>
      <c r="I15" s="157">
        <v>9.48</v>
      </c>
      <c r="J15" s="157">
        <v>9.4600000000000009</v>
      </c>
      <c r="K15" s="157">
        <v>9.7100000000000009</v>
      </c>
      <c r="L15" s="49">
        <v>10.61</v>
      </c>
    </row>
    <row r="16" spans="2:12" ht="40" customHeight="1" x14ac:dyDescent="0.35">
      <c r="B16" s="530"/>
      <c r="C16" s="410" t="s">
        <v>783</v>
      </c>
      <c r="D16" s="466">
        <v>9.26</v>
      </c>
      <c r="E16" s="414">
        <v>9.26</v>
      </c>
      <c r="F16" s="414">
        <v>9.48</v>
      </c>
      <c r="G16" s="414">
        <v>9.64</v>
      </c>
      <c r="H16" s="414">
        <v>9.59</v>
      </c>
      <c r="I16" s="414">
        <v>9.98</v>
      </c>
      <c r="J16" s="414">
        <v>10.08</v>
      </c>
      <c r="K16" s="414">
        <v>10.31</v>
      </c>
      <c r="L16" s="16">
        <v>10.51</v>
      </c>
    </row>
    <row r="17" spans="2:12" ht="40" customHeight="1" x14ac:dyDescent="0.35">
      <c r="B17" s="529" t="s">
        <v>855</v>
      </c>
      <c r="C17" s="411" t="s">
        <v>782</v>
      </c>
      <c r="D17" s="467">
        <v>4.8600000000000003</v>
      </c>
      <c r="E17" s="435">
        <v>4.99</v>
      </c>
      <c r="F17" s="435">
        <v>5.14</v>
      </c>
      <c r="G17" s="435">
        <v>5.0599999999999996</v>
      </c>
      <c r="H17" s="435">
        <v>4.8600000000000003</v>
      </c>
      <c r="I17" s="435">
        <v>4.58</v>
      </c>
      <c r="J17" s="435">
        <v>4.5999999999999996</v>
      </c>
      <c r="K17" s="435">
        <v>5.07</v>
      </c>
      <c r="L17" s="436">
        <v>5.05</v>
      </c>
    </row>
    <row r="18" spans="2:12" ht="40" customHeight="1" thickBot="1" x14ac:dyDescent="0.4">
      <c r="B18" s="529"/>
      <c r="C18" s="412" t="s">
        <v>783</v>
      </c>
      <c r="D18" s="468">
        <v>5.37</v>
      </c>
      <c r="E18" s="346">
        <v>5.39</v>
      </c>
      <c r="F18" s="346">
        <v>5.83</v>
      </c>
      <c r="G18" s="346">
        <v>5.98</v>
      </c>
      <c r="H18" s="346">
        <v>6</v>
      </c>
      <c r="I18" s="346">
        <v>6.43</v>
      </c>
      <c r="J18" s="346">
        <v>6.56</v>
      </c>
      <c r="K18" s="346">
        <v>6.98</v>
      </c>
      <c r="L18" s="438">
        <v>7.24</v>
      </c>
    </row>
    <row r="22" spans="2:12" ht="40" customHeight="1" x14ac:dyDescent="0.35">
      <c r="B22" s="531" t="s">
        <v>784</v>
      </c>
      <c r="C22" s="531"/>
      <c r="D22" s="531"/>
      <c r="E22" s="531"/>
      <c r="F22" s="531"/>
      <c r="G22" s="531"/>
      <c r="I22" s="134"/>
      <c r="J22" s="134"/>
      <c r="K22" s="134"/>
    </row>
    <row r="39" spans="2:8" ht="40" customHeight="1" x14ac:dyDescent="0.35">
      <c r="B39" s="532" t="s">
        <v>785</v>
      </c>
      <c r="C39" s="532"/>
      <c r="D39" s="532"/>
      <c r="E39" s="532"/>
      <c r="F39" s="532"/>
      <c r="G39" s="532"/>
    </row>
    <row r="41" spans="2:8" ht="30.65" customHeight="1" x14ac:dyDescent="0.35">
      <c r="B41" s="526" t="s">
        <v>786</v>
      </c>
      <c r="C41" s="526"/>
      <c r="D41" s="526"/>
      <c r="E41" s="526"/>
      <c r="F41" s="526"/>
      <c r="G41" s="526"/>
      <c r="H41" s="526"/>
    </row>
    <row r="59" spans="2:8" ht="25" customHeight="1" x14ac:dyDescent="0.35">
      <c r="B59" s="527" t="s">
        <v>857</v>
      </c>
      <c r="C59" s="527"/>
      <c r="D59" s="527"/>
      <c r="E59" s="527"/>
      <c r="F59" s="527"/>
      <c r="G59" s="527"/>
      <c r="H59" s="527"/>
    </row>
    <row r="60" spans="2:8" ht="10.5" customHeight="1" x14ac:dyDescent="0.35"/>
    <row r="61" spans="2:8" ht="19" customHeight="1" x14ac:dyDescent="0.35">
      <c r="B61" s="528" t="s">
        <v>787</v>
      </c>
      <c r="C61" s="528"/>
      <c r="D61" s="528"/>
      <c r="E61" s="528"/>
      <c r="F61" s="528"/>
      <c r="G61" s="528"/>
      <c r="H61" s="528"/>
    </row>
  </sheetData>
  <mergeCells count="8">
    <mergeCell ref="B41:H41"/>
    <mergeCell ref="B59:H59"/>
    <mergeCell ref="B61:H61"/>
    <mergeCell ref="B5:K5"/>
    <mergeCell ref="B15:B16"/>
    <mergeCell ref="B17:B18"/>
    <mergeCell ref="B22:G22"/>
    <mergeCell ref="B39:G3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E50F9F4E-008B-434A-8636-A36A2058D2B2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$D$16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D15</xm:sqref>
        </x14:conditionalFormatting>
        <x14:conditionalFormatting xmlns:xm="http://schemas.microsoft.com/office/excel/2006/main">
          <x14:cfRule type="iconSet" priority="1" id="{AC2E2A22-7A22-4D80-AA30-B60D5E15344F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$D$18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D17</xm:sqref>
        </x14:conditionalFormatting>
        <x14:conditionalFormatting xmlns:xm="http://schemas.microsoft.com/office/excel/2006/main">
          <x14:cfRule type="iconSet" priority="11" id="{EF29E3AF-51D9-4235-B544-61230456D56B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$E$16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E15</xm:sqref>
        </x14:conditionalFormatting>
        <x14:conditionalFormatting xmlns:xm="http://schemas.microsoft.com/office/excel/2006/main">
          <x14:cfRule type="iconSet" priority="3" id="{5A92B485-28F6-4262-A83B-535EC5B9E27A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$E$18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E17</xm:sqref>
        </x14:conditionalFormatting>
        <x14:conditionalFormatting xmlns:xm="http://schemas.microsoft.com/office/excel/2006/main">
          <x14:cfRule type="iconSet" priority="18" id="{2851C594-D209-4948-AD95-EEF64FAF67CB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$F$16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F15</xm:sqref>
        </x14:conditionalFormatting>
        <x14:conditionalFormatting xmlns:xm="http://schemas.microsoft.com/office/excel/2006/main">
          <x14:cfRule type="iconSet" priority="10" id="{542B2986-2E37-4B63-9E38-B90EBC8B5900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$F$18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F17</xm:sqref>
        </x14:conditionalFormatting>
        <x14:conditionalFormatting xmlns:xm="http://schemas.microsoft.com/office/excel/2006/main">
          <x14:cfRule type="iconSet" priority="17" id="{F7814D6B-34D0-405D-BD3F-60C379333151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$G$16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G15</xm:sqref>
        </x14:conditionalFormatting>
        <x14:conditionalFormatting xmlns:xm="http://schemas.microsoft.com/office/excel/2006/main">
          <x14:cfRule type="iconSet" priority="9" id="{34754CAA-97CB-45DB-A6F6-72CDF5774E70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$G$18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G17</xm:sqref>
        </x14:conditionalFormatting>
        <x14:conditionalFormatting xmlns:xm="http://schemas.microsoft.com/office/excel/2006/main">
          <x14:cfRule type="iconSet" priority="16" id="{B01F9A0A-D221-455B-8344-834C9E529DC3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$H$16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H15</xm:sqref>
        </x14:conditionalFormatting>
        <x14:conditionalFormatting xmlns:xm="http://schemas.microsoft.com/office/excel/2006/main">
          <x14:cfRule type="iconSet" priority="8" id="{14EF08F1-3386-4F9B-9342-7367D1440688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$H$18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H17</xm:sqref>
        </x14:conditionalFormatting>
        <x14:conditionalFormatting xmlns:xm="http://schemas.microsoft.com/office/excel/2006/main">
          <x14:cfRule type="iconSet" priority="15" id="{886AE17F-DFF2-4CBE-B20B-CC19DDFA8BB4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$I$16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I15</xm:sqref>
        </x14:conditionalFormatting>
        <x14:conditionalFormatting xmlns:xm="http://schemas.microsoft.com/office/excel/2006/main">
          <x14:cfRule type="iconSet" priority="7" id="{33231A90-09D7-4AC8-B9D0-05FB7973D2B3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$I$18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I17</xm:sqref>
        </x14:conditionalFormatting>
        <x14:conditionalFormatting xmlns:xm="http://schemas.microsoft.com/office/excel/2006/main">
          <x14:cfRule type="iconSet" priority="14" id="{EAF75840-64CD-4FC2-A1E5-0D14541AB47B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$J$16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J15</xm:sqref>
        </x14:conditionalFormatting>
        <x14:conditionalFormatting xmlns:xm="http://schemas.microsoft.com/office/excel/2006/main">
          <x14:cfRule type="iconSet" priority="6" id="{262DE097-21BF-4C7D-BA3B-91EA1DD2C92F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$J$18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J17</xm:sqref>
        </x14:conditionalFormatting>
        <x14:conditionalFormatting xmlns:xm="http://schemas.microsoft.com/office/excel/2006/main">
          <x14:cfRule type="iconSet" priority="13" id="{29E1866C-353D-455F-B2F2-F6B21D7E2BF9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$F$16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K15</xm:sqref>
        </x14:conditionalFormatting>
        <x14:conditionalFormatting xmlns:xm="http://schemas.microsoft.com/office/excel/2006/main">
          <x14:cfRule type="iconSet" priority="5" id="{0BDBE60A-D092-4B40-8D0C-7EB90A51A610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$F$18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K17</xm:sqref>
        </x14:conditionalFormatting>
        <x14:conditionalFormatting xmlns:xm="http://schemas.microsoft.com/office/excel/2006/main">
          <x14:cfRule type="iconSet" priority="12" id="{823353CE-76F5-4A8D-8C59-E0488873CCA7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$L$16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L15</xm:sqref>
        </x14:conditionalFormatting>
        <x14:conditionalFormatting xmlns:xm="http://schemas.microsoft.com/office/excel/2006/main">
          <x14:cfRule type="iconSet" priority="4" id="{F1E06D40-CCF4-450D-B0B5-343DCCB0FA66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$L$18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L17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9869-6176-4580-A3F6-E17BE71C87FD}">
  <sheetPr codeName="Planilha31">
    <tabColor rgb="FF17772E"/>
    <outlinePr summaryBelow="0"/>
  </sheetPr>
  <dimension ref="B4:CW3078"/>
  <sheetViews>
    <sheetView showGridLines="0" zoomScaleNormal="100" workbookViewId="0"/>
  </sheetViews>
  <sheetFormatPr defaultColWidth="8.7265625" defaultRowHeight="19" customHeight="1" outlineLevelRow="2" x14ac:dyDescent="0.35"/>
  <cols>
    <col min="1" max="1" width="2.54296875" style="1" customWidth="1"/>
    <col min="2" max="2" width="84.54296875" style="1" customWidth="1"/>
    <col min="3" max="5" width="20.54296875" style="1" customWidth="1"/>
    <col min="6" max="67" width="8.7265625" style="1"/>
    <col min="68" max="68" width="8.1796875" style="1" customWidth="1"/>
    <col min="69" max="69" width="18.81640625" style="1" hidden="1" customWidth="1"/>
    <col min="70" max="70" width="18.54296875" style="1" customWidth="1"/>
    <col min="71" max="71" width="56.1796875" style="1" customWidth="1"/>
    <col min="72" max="72" width="14.1796875" style="34" customWidth="1"/>
    <col min="73" max="73" width="5.453125" style="1" customWidth="1"/>
    <col min="74" max="74" width="84.54296875" style="1" customWidth="1"/>
    <col min="75" max="100" width="20.54296875" style="1" customWidth="1"/>
    <col min="101" max="16384" width="8.7265625" style="1"/>
  </cols>
  <sheetData>
    <row r="4" spans="2:5" ht="45" customHeight="1" x14ac:dyDescent="0.35">
      <c r="B4" s="478" t="s">
        <v>0</v>
      </c>
      <c r="C4" s="478"/>
      <c r="D4" s="478"/>
      <c r="E4" s="478"/>
    </row>
    <row r="5" spans="2:5" ht="10" customHeight="1" x14ac:dyDescent="0.35">
      <c r="B5" s="111"/>
      <c r="C5" s="111"/>
      <c r="D5" s="111"/>
      <c r="E5" s="115"/>
    </row>
    <row r="6" spans="2:5" ht="40" customHeight="1" x14ac:dyDescent="0.35">
      <c r="B6" s="112" t="s">
        <v>1</v>
      </c>
      <c r="C6" s="112"/>
      <c r="D6" s="112"/>
      <c r="E6" s="133" t="s">
        <v>26</v>
      </c>
    </row>
    <row r="7" spans="2:5" ht="15" customHeight="1" x14ac:dyDescent="0.35">
      <c r="B7" s="3"/>
      <c r="C7" s="3"/>
      <c r="E7" s="40" t="s">
        <v>3</v>
      </c>
    </row>
    <row r="8" spans="2:5" ht="35.15" customHeight="1" x14ac:dyDescent="0.35">
      <c r="B8" s="87" t="s">
        <v>4</v>
      </c>
      <c r="C8" s="167" t="str">
        <f>IFERROR(E6,"")</f>
        <v>2T | 2026</v>
      </c>
      <c r="D8" s="164" t="str">
        <f xml:space="preserve">
IFERROR(
_xlfn.CONCAT(
MID($E$6,1,2),
" | ",
MID($E$6,6,4)-1
),0)</f>
        <v>2T | 2025</v>
      </c>
      <c r="E8" s="164" t="s">
        <v>5</v>
      </c>
    </row>
    <row r="9" spans="2:5" ht="25" customHeight="1" x14ac:dyDescent="0.35">
      <c r="B9" s="42" t="s">
        <v>6</v>
      </c>
      <c r="C9" s="46">
        <f>IFERROR(SUM(C10:C13,C15:C29),0)</f>
        <v>11156238</v>
      </c>
      <c r="D9" s="46">
        <f>IFERROR(SUM(D10:D13,D15:D29),0)</f>
        <v>10786295</v>
      </c>
      <c r="E9" s="70">
        <f>IFERROR(((C9/D9)-1)*100,0)</f>
        <v>3.4297504379400046</v>
      </c>
    </row>
    <row r="10" spans="2:5" ht="19" customHeight="1" outlineLevel="1" x14ac:dyDescent="0.35">
      <c r="B10" s="35" t="str">
        <f>BV258</f>
        <v>Fornecimento bruto de energia elétrica</v>
      </c>
      <c r="C10" s="30">
        <f xml:space="preserve">
IFERROR(
INDEX($BV$257:$ED$508,
MATCH(
_xlfn.CONCAT($B$6," | ",B10),$BQ$257:$BQ$508,0),
MATCH($C$8,BV$256:$ED$256,0)),
0)</f>
        <v>9055911</v>
      </c>
      <c r="D10" s="32">
        <f xml:space="preserve">
IFERROR(
INDEX($BV$257:$ED$508,
MATCH(
_xlfn.CONCAT($B$6," | ",B10),$BQ$257:$BQ$508,0),
MATCH($D$8,$BV$256:$ED$256,0)),
0)</f>
        <v>8686379</v>
      </c>
      <c r="E10" s="71">
        <f>IFERROR(((C10/D10)-1)*100,0)</f>
        <v>4.2541546943783981</v>
      </c>
    </row>
    <row r="11" spans="2:5" ht="19" customHeight="1" outlineLevel="1" x14ac:dyDescent="0.35">
      <c r="B11" s="35" t="str">
        <f t="shared" ref="B11:B29" si="0">BV259</f>
        <v>Receita de uso dos sistemas elétricos de distribuição – TUSD</v>
      </c>
      <c r="C11" s="30">
        <f xml:space="preserve">
IFERROR(
INDEX($BV$257:$ED$508,
MATCH(
_xlfn.CONCAT($B$6," | ",B11),$BQ$257:$BQ$508,0),
MATCH($C$8,BV$256:$ED$256,0)),
0)</f>
        <v>1633700</v>
      </c>
      <c r="D11" s="32">
        <f xml:space="preserve">
IFERROR(
INDEX($BV$257:$ED$508,
MATCH(
_xlfn.CONCAT($B$6," | ",B11),$BQ$257:$BQ$508,0),
MATCH($D$8,$BV$256:$ED$256,0)),
0)</f>
        <v>1414496</v>
      </c>
      <c r="E11" s="71">
        <f t="shared" ref="E11:E72" si="1">IFERROR(((C11/D11)-1)*100,0)</f>
        <v>15.496968531547628</v>
      </c>
    </row>
    <row r="12" spans="2:5" ht="19" customHeight="1" outlineLevel="1" x14ac:dyDescent="0.35">
      <c r="B12" s="35" t="str">
        <f t="shared" si="0"/>
        <v>CVA e outros componentes financeiros</v>
      </c>
      <c r="C12" s="30">
        <f xml:space="preserve">
IFERROR(
INDEX($BV$257:$ED$508,
MATCH(
_xlfn.CONCAT($B$6," | ",B12),$BQ$257:$BQ$508,0),
MATCH($C$8,BV$256:$ED$256,0)),
0)</f>
        <v>213753</v>
      </c>
      <c r="D12" s="32">
        <f xml:space="preserve">
IFERROR(
INDEX($BV$257:$ED$508,
MATCH(
_xlfn.CONCAT($B$6," | ",B12),$BQ$257:$BQ$508,0),
MATCH($D$8,$BV$256:$ED$256,0)),
0)</f>
        <v>70394</v>
      </c>
      <c r="E12" s="71">
        <f t="shared" si="1"/>
        <v>203.6522999119243</v>
      </c>
    </row>
    <row r="13" spans="2:5" ht="19" customHeight="1" outlineLevel="1" x14ac:dyDescent="0.35">
      <c r="B13" s="35" t="str">
        <f>BV261</f>
        <v>Restituição de créditos de PIS/Pasep e Cofins aos consumidores - Realização</v>
      </c>
      <c r="C13" s="30">
        <f xml:space="preserve">
IFERROR(
INDEX($BV$257:$ED$508,
MATCH(
_xlfn.CONCAT($B$6," | ",B13),$BQ$257:$BQ$508,0),
MATCH($C$8,BV$256:$ED$256,0)),
0)</f>
        <v>0</v>
      </c>
      <c r="D13" s="32">
        <f xml:space="preserve">
IFERROR(
INDEX($BV$257:$ED$508,
MATCH(
_xlfn.CONCAT($B$6," | ",B13),$BQ$257:$BQ$508,0),
MATCH($D$8,$BV$256:$ED$256,0)),
0)</f>
        <v>0</v>
      </c>
      <c r="E13" s="71">
        <f t="shared" si="1"/>
        <v>0</v>
      </c>
    </row>
    <row r="14" spans="2:5" ht="19" customHeight="1" outlineLevel="1" x14ac:dyDescent="0.35">
      <c r="B14" s="391" t="str">
        <f t="shared" si="0"/>
        <v>Receita de transmissão</v>
      </c>
      <c r="C14" s="77">
        <f>IFERROR(SUM(C15:C17),0)</f>
        <v>506635</v>
      </c>
      <c r="D14" s="51">
        <f>IFERROR(SUM(D15:D17),0)</f>
        <v>323743</v>
      </c>
      <c r="E14" s="71">
        <f t="shared" si="1"/>
        <v>56.492958921119538</v>
      </c>
    </row>
    <row r="15" spans="2:5" ht="19" customHeight="1" outlineLevel="1" x14ac:dyDescent="0.35">
      <c r="B15" s="5" t="str">
        <f t="shared" si="0"/>
        <v>Receita de operação e manutenção</v>
      </c>
      <c r="C15" s="30">
        <f xml:space="preserve">
IFERROR(
INDEX($BV$257:$ED$508,
MATCH(
_xlfn.CONCAT($B$6," | ",B15),$BQ$257:$BQ$508,0),
MATCH($C$8,BV$256:$ED$256,0)),
0)</f>
        <v>103282</v>
      </c>
      <c r="D15" s="32">
        <f t="shared" ref="D15:D29" si="2" xml:space="preserve">
IFERROR(
INDEX($BV$257:$ED$508,
MATCH(
_xlfn.CONCAT($B$6," | ",B15),$BQ$257:$BQ$508,0),
MATCH($D$8,$BV$256:$ED$256,0)),
0)</f>
        <v>114197</v>
      </c>
      <c r="E15" s="71">
        <f t="shared" si="1"/>
        <v>-9.5580444319903322</v>
      </c>
    </row>
    <row r="16" spans="2:5" ht="19" customHeight="1" outlineLevel="1" x14ac:dyDescent="0.35">
      <c r="B16" s="5" t="str">
        <f t="shared" si="0"/>
        <v>Receita de construção e melhoria</v>
      </c>
      <c r="C16" s="30">
        <f xml:space="preserve">
IFERROR(
INDEX($BV$257:$ED$508,
MATCH(
_xlfn.CONCAT($B$6," | ",B16),$BQ$257:$BQ$508,0),
MATCH($C$8,BV$256:$ED$256,0)),
0)</f>
        <v>223329</v>
      </c>
      <c r="D16" s="32">
        <f t="shared" si="2"/>
        <v>179130</v>
      </c>
      <c r="E16" s="71">
        <f t="shared" si="1"/>
        <v>24.674258918104176</v>
      </c>
    </row>
    <row r="17" spans="2:5" ht="19" customHeight="1" outlineLevel="1" x14ac:dyDescent="0.35">
      <c r="B17" s="5" t="str">
        <f t="shared" si="0"/>
        <v>Remuneração financeira do ativo de contrato da transmissão</v>
      </c>
      <c r="C17" s="30">
        <f xml:space="preserve">
IFERROR(
INDEX($BV$257:$ED$508,
MATCH(
_xlfn.CONCAT($B$6," | ",B17),$BQ$257:$BQ$508,0),
MATCH($C$8,BV$256:$ED$256,0)),
0)</f>
        <v>180024</v>
      </c>
      <c r="D17" s="32">
        <f t="shared" si="2"/>
        <v>30416</v>
      </c>
      <c r="E17" s="71">
        <f t="shared" si="1"/>
        <v>491.87269857969494</v>
      </c>
    </row>
    <row r="18" spans="2:5" ht="19" customHeight="1" outlineLevel="1" x14ac:dyDescent="0.35">
      <c r="B18" s="35" t="str">
        <f t="shared" si="0"/>
        <v>Receita de indenização da geração</v>
      </c>
      <c r="C18" s="30">
        <f xml:space="preserve">
IFERROR(
INDEX($BV$257:$ED$508,
MATCH(
_xlfn.CONCAT($B$6," | ",B18),$BQ$257:$BQ$508,0),
MATCH($C$8,BV$256:$ED$256,0)),
0)</f>
        <v>35805</v>
      </c>
      <c r="D18" s="32">
        <f t="shared" si="2"/>
        <v>31201</v>
      </c>
      <c r="E18" s="71">
        <f t="shared" si="1"/>
        <v>14.755937309701617</v>
      </c>
    </row>
    <row r="19" spans="2:5" ht="19" customHeight="1" outlineLevel="1" x14ac:dyDescent="0.35">
      <c r="B19" s="35" t="str">
        <f t="shared" si="0"/>
        <v>Receita de construção de distribuição</v>
      </c>
      <c r="C19" s="30">
        <f xml:space="preserve">
IFERROR(
INDEX($BV$257:$ED$508,
MATCH(
_xlfn.CONCAT($B$6," | ",B19),$BQ$257:$BQ$508,0),
MATCH($C$8,BV$256:$ED$256,0)),
0)</f>
        <v>1587229</v>
      </c>
      <c r="D19" s="32">
        <f t="shared" si="2"/>
        <v>1324446</v>
      </c>
      <c r="E19" s="71">
        <f t="shared" si="1"/>
        <v>19.84097501898907</v>
      </c>
    </row>
    <row r="20" spans="2:5" ht="19" customHeight="1" outlineLevel="1" x14ac:dyDescent="0.35">
      <c r="B20" s="35" t="str">
        <f t="shared" si="0"/>
        <v>Ajuste de expectativa do fluxo de caixa do ativo financeiro indenizável da concessão de distribuição</v>
      </c>
      <c r="C20" s="30">
        <f xml:space="preserve">
IFERROR(
INDEX($BV$257:$ED$508,
MATCH(
_xlfn.CONCAT($B$6," | ",B20),$BQ$257:$BQ$508,0),
MATCH($C$8,BV$256:$ED$256,0)),
0)</f>
        <v>79686</v>
      </c>
      <c r="D20" s="32">
        <f t="shared" si="2"/>
        <v>26618</v>
      </c>
      <c r="E20" s="71">
        <f t="shared" si="1"/>
        <v>199.36884814786987</v>
      </c>
    </row>
    <row r="21" spans="2:5" ht="19" customHeight="1" outlineLevel="1" x14ac:dyDescent="0.35">
      <c r="B21" s="455" t="str">
        <f t="shared" si="0"/>
        <v>Receita de atualização financeira da bonificação pela outorga</v>
      </c>
      <c r="C21" s="30">
        <f xml:space="preserve">
IFERROR(
INDEX($BV$257:$ED$508,
MATCH(
_xlfn.CONCAT($B$6," | ",B21),$BQ$257:$BQ$508,0),
MATCH($C$8,BV$256:$ED$256,0)),
0)</f>
        <v>147979</v>
      </c>
      <c r="D21" s="32">
        <f t="shared" si="2"/>
        <v>118859</v>
      </c>
      <c r="E21" s="71">
        <f t="shared" si="1"/>
        <v>24.499617193481349</v>
      </c>
    </row>
    <row r="22" spans="2:5" ht="19" customHeight="1" outlineLevel="1" x14ac:dyDescent="0.35">
      <c r="B22" s="35" t="str">
        <f t="shared" si="0"/>
        <v>Liquidação na CCEE</v>
      </c>
      <c r="C22" s="30">
        <f xml:space="preserve">
IFERROR(
INDEX($BV$257:$ED$508,
MATCH(
_xlfn.CONCAT($B$6," | ",B22),$BQ$257:$BQ$508,0),
MATCH($C$8,BV$256:$ED$256,0)),
0)</f>
        <v>65442</v>
      </c>
      <c r="D22" s="32">
        <f t="shared" si="2"/>
        <v>39585</v>
      </c>
      <c r="E22" s="71">
        <f t="shared" si="1"/>
        <v>65.320197044334975</v>
      </c>
    </row>
    <row r="23" spans="2:5" ht="19" customHeight="1" outlineLevel="1" x14ac:dyDescent="0.35">
      <c r="B23" s="35" t="str">
        <f t="shared" si="0"/>
        <v>Transações no mecanismo de venda de excedentes - MVE</v>
      </c>
      <c r="C23" s="30">
        <f xml:space="preserve">
IFERROR(
INDEX($BV$257:$ED$508,
MATCH(
_xlfn.CONCAT($B$6," | ",B23),$BQ$257:$BQ$508,0),
MATCH($C$8,BV$256:$ED$256,0)),
0)</f>
        <v>0</v>
      </c>
      <c r="D23" s="32">
        <f t="shared" si="2"/>
        <v>0</v>
      </c>
      <c r="E23" s="71">
        <f t="shared" si="1"/>
        <v>0</v>
      </c>
    </row>
    <row r="24" spans="2:5" ht="19" customHeight="1" outlineLevel="1" x14ac:dyDescent="0.35">
      <c r="B24" s="35" t="str">
        <f t="shared" si="0"/>
        <v>Fornecimento de gás</v>
      </c>
      <c r="C24" s="30">
        <f xml:space="preserve">
IFERROR(
INDEX($BV$257:$ED$508,
MATCH(
_xlfn.CONCAT($B$6," | ",B24),$BQ$257:$BQ$508,0),
MATCH($C$8,BV$256:$ED$256,0)),
0)</f>
        <v>563336</v>
      </c>
      <c r="D24" s="32">
        <f t="shared" si="2"/>
        <v>965491</v>
      </c>
      <c r="E24" s="71">
        <f t="shared" si="1"/>
        <v>-41.652899923458634</v>
      </c>
    </row>
    <row r="25" spans="2:5" ht="19" customHeight="1" outlineLevel="1" x14ac:dyDescent="0.35">
      <c r="B25" s="35" t="str">
        <f t="shared" si="0"/>
        <v>Compensação por violação de padrão indicador de continuidade</v>
      </c>
      <c r="C25" s="30">
        <f xml:space="preserve">
IFERROR(
INDEX($BV$257:$ED$508,
MATCH(
_xlfn.CONCAT($B$6," | ",B25),$BQ$257:$BQ$508,0),
MATCH($C$8,BV$256:$ED$256,0)),
0)</f>
        <v>-39694</v>
      </c>
      <c r="D25" s="32">
        <f t="shared" si="2"/>
        <v>-39949</v>
      </c>
      <c r="E25" s="71">
        <f t="shared" si="1"/>
        <v>-0.63831385015895581</v>
      </c>
    </row>
    <row r="26" spans="2:5" ht="19" customHeight="1" outlineLevel="1" x14ac:dyDescent="0.35">
      <c r="B26" s="35" t="str">
        <f t="shared" si="0"/>
        <v>Receita por antecipação de prestação de serviço</v>
      </c>
      <c r="C26" s="30">
        <f xml:space="preserve">
IFERROR(
INDEX($BV$257:$ED$508,
MATCH(
_xlfn.CONCAT($B$6," | ",B26),$BQ$257:$BQ$508,0),
MATCH($C$8,BV$256:$ED$256,0)),
0)</f>
        <v>0</v>
      </c>
      <c r="D26" s="32">
        <f t="shared" si="2"/>
        <v>0</v>
      </c>
      <c r="E26" s="71">
        <f t="shared" si="1"/>
        <v>0</v>
      </c>
    </row>
    <row r="27" spans="2:5" ht="19" customHeight="1" outlineLevel="1" x14ac:dyDescent="0.35">
      <c r="B27" s="35" t="str">
        <f t="shared" si="0"/>
        <v>Créditos de PIS/Pasep e Cofins a restituir a consumidores</v>
      </c>
      <c r="C27" s="30">
        <f xml:space="preserve">
IFERROR(
INDEX($BV$257:$ED$508,
MATCH(
_xlfn.CONCAT($B$6," | ",B27),$BQ$257:$BQ$508,0),
MATCH($C$8,BV$256:$ED$256,0)),
0)</f>
        <v>0</v>
      </c>
      <c r="D27" s="32">
        <f t="shared" si="2"/>
        <v>0</v>
      </c>
      <c r="E27" s="71">
        <f t="shared" si="1"/>
        <v>0</v>
      </c>
    </row>
    <row r="28" spans="2:5" ht="19" customHeight="1" outlineLevel="1" x14ac:dyDescent="0.35">
      <c r="B28" s="35" t="str">
        <f t="shared" si="0"/>
        <v>Outras receitas</v>
      </c>
      <c r="C28" s="30">
        <f xml:space="preserve">
IFERROR(
INDEX($BV$257:$ED$508,
MATCH(
_xlfn.CONCAT($B$6," | ",B28),$BQ$257:$BQ$508,0),
MATCH($C$8,BV$256:$ED$256,0)),
0)</f>
        <v>1109677</v>
      </c>
      <c r="D28" s="32">
        <f t="shared" si="2"/>
        <v>1315539</v>
      </c>
      <c r="E28" s="71">
        <f t="shared" si="1"/>
        <v>-15.648490846717579</v>
      </c>
    </row>
    <row r="29" spans="2:5" ht="19" customHeight="1" outlineLevel="1" x14ac:dyDescent="0.35">
      <c r="B29" s="35" t="str">
        <f t="shared" si="0"/>
        <v>Tributos e encargos incidentes sobre a receita</v>
      </c>
      <c r="C29" s="30">
        <f xml:space="preserve">
IFERROR(
INDEX($BV$257:$ED$508,
MATCH(
_xlfn.CONCAT($B$6," | ",B29),$BQ$257:$BQ$508,0),
MATCH($C$8,BV$256:$ED$256,0)),
0)</f>
        <v>-3803221</v>
      </c>
      <c r="D29" s="32">
        <f t="shared" si="2"/>
        <v>-3490507</v>
      </c>
      <c r="E29" s="71">
        <f t="shared" si="1"/>
        <v>8.9589850414280683</v>
      </c>
    </row>
    <row r="30" spans="2:5" ht="25" customHeight="1" x14ac:dyDescent="0.35">
      <c r="B30" s="4" t="s">
        <v>7</v>
      </c>
      <c r="C30" s="66">
        <f>SUM(C31:C50)</f>
        <v>-9418375</v>
      </c>
      <c r="D30" s="31">
        <f>SUM(D31:D50)</f>
        <v>-9173036</v>
      </c>
      <c r="E30" s="73">
        <f t="shared" si="1"/>
        <v>2.6745670680895506</v>
      </c>
    </row>
    <row r="31" spans="2:5" ht="19" customHeight="1" outlineLevel="1" x14ac:dyDescent="0.35">
      <c r="B31" s="36" t="str">
        <f>BV279</f>
        <v>Energia elétrica comprada para revenda</v>
      </c>
      <c r="C31" s="30">
        <f xml:space="preserve">
IFERROR(
INDEX($BV$257:$ED$508,
MATCH(
_xlfn.CONCAT($B$6," | ",B31),$BQ$257:$BQ$508,0),
MATCH($C$8,BV$256:$ED$256,0)),
0)</f>
        <v>-4785257</v>
      </c>
      <c r="D31" s="32">
        <f t="shared" ref="D31:D49" si="3" xml:space="preserve">
IFERROR(
INDEX($BV$257:$ED$508,
MATCH(
_xlfn.CONCAT($B$6," | ",B31),$BQ$257:$BQ$508,0),
MATCH($D$8,$BV$256:$ED$256,0)),
0)</f>
        <v>-4547303</v>
      </c>
      <c r="E31" s="71">
        <f t="shared" si="1"/>
        <v>5.2328600051503082</v>
      </c>
    </row>
    <row r="32" spans="2:5" ht="19" customHeight="1" outlineLevel="1" x14ac:dyDescent="0.35">
      <c r="B32" s="36" t="str">
        <f t="shared" ref="B32:B57" si="4">BV280</f>
        <v>Encargos de uso da rede básica</v>
      </c>
      <c r="C32" s="30">
        <f xml:space="preserve">
IFERROR(
INDEX($BV$257:$ED$508,
MATCH(
_xlfn.CONCAT($B$6," | ",B32),$BQ$257:$BQ$508,0),
MATCH($C$8,BV$256:$ED$256,0)),
0)</f>
        <v>-830506</v>
      </c>
      <c r="D32" s="32">
        <f t="shared" si="3"/>
        <v>-776715</v>
      </c>
      <c r="E32" s="71">
        <f t="shared" si="1"/>
        <v>6.9254488454581153</v>
      </c>
    </row>
    <row r="33" spans="2:5" ht="19" customHeight="1" outlineLevel="1" x14ac:dyDescent="0.35">
      <c r="B33" s="36" t="str">
        <f t="shared" si="4"/>
        <v>Gás comprado para revenda</v>
      </c>
      <c r="C33" s="30">
        <f xml:space="preserve">
IFERROR(
INDEX($BV$257:$ED$508,
MATCH(
_xlfn.CONCAT($B$6," | ",B33),$BQ$257:$BQ$508,0),
MATCH($C$8,BV$256:$ED$256,0)),
0)</f>
        <v>-198475</v>
      </c>
      <c r="D33" s="32">
        <f t="shared" si="3"/>
        <v>-485097</v>
      </c>
      <c r="E33" s="71">
        <f t="shared" si="1"/>
        <v>-59.08550248713145</v>
      </c>
    </row>
    <row r="34" spans="2:5" ht="19" customHeight="1" outlineLevel="1" x14ac:dyDescent="0.35">
      <c r="B34" s="36" t="str">
        <f t="shared" si="4"/>
        <v>Custos de construção de infraestrutura</v>
      </c>
      <c r="C34" s="30">
        <f xml:space="preserve">
IFERROR(
INDEX($BV$257:$ED$508,
MATCH(
_xlfn.CONCAT($B$6," | ",B34),$BQ$257:$BQ$508,0),
MATCH($C$8,BV$256:$ED$256,0)),
0)</f>
        <v>-1753090</v>
      </c>
      <c r="D34" s="32">
        <f t="shared" si="3"/>
        <v>-1463371</v>
      </c>
      <c r="E34" s="71">
        <f t="shared" si="1"/>
        <v>19.798055312015883</v>
      </c>
    </row>
    <row r="35" spans="2:5" ht="19" customHeight="1" outlineLevel="1" x14ac:dyDescent="0.35">
      <c r="B35" s="36" t="str">
        <f t="shared" si="4"/>
        <v>Pessoal (reversões)</v>
      </c>
      <c r="C35" s="30">
        <f xml:space="preserve">
IFERROR(
INDEX($BV$257:$ED$508,
MATCH(
_xlfn.CONCAT($B$6," | ",B35),$BQ$257:$BQ$508,0),
MATCH($C$8,BV$256:$ED$256,0)),
0)</f>
        <v>-420807</v>
      </c>
      <c r="D35" s="32">
        <f t="shared" si="3"/>
        <v>-388389</v>
      </c>
      <c r="E35" s="71">
        <f t="shared" si="1"/>
        <v>8.3467863404988343</v>
      </c>
    </row>
    <row r="36" spans="2:5" ht="19" customHeight="1" outlineLevel="1" x14ac:dyDescent="0.35">
      <c r="B36" s="36" t="str">
        <f t="shared" si="4"/>
        <v>Participação dos empregados e administradores no resultado</v>
      </c>
      <c r="C36" s="30">
        <f xml:space="preserve">
IFERROR(
INDEX($BV$257:$ED$508,
MATCH(
_xlfn.CONCAT($B$6," | ",B36),$BQ$257:$BQ$508,0),
MATCH($C$8,BV$256:$ED$256,0)),
0)</f>
        <v>-53380</v>
      </c>
      <c r="D36" s="32">
        <f t="shared" si="3"/>
        <v>-46024</v>
      </c>
      <c r="E36" s="71">
        <f t="shared" si="1"/>
        <v>15.982965409351646</v>
      </c>
    </row>
    <row r="37" spans="2:5" ht="19" customHeight="1" outlineLevel="1" x14ac:dyDescent="0.35">
      <c r="B37" s="36" t="str">
        <f t="shared" si="4"/>
        <v>Obrigações pós-emprego (reversões)</v>
      </c>
      <c r="C37" s="30">
        <f xml:space="preserve">
IFERROR(
INDEX($BV$257:$ED$508,
MATCH(
_xlfn.CONCAT($B$6," | ",B37),$BQ$257:$BQ$508,0),
MATCH($C$8,BV$256:$ED$256,0)),
0)</f>
        <v>-50233</v>
      </c>
      <c r="D37" s="32">
        <f t="shared" si="3"/>
        <v>-109324</v>
      </c>
      <c r="E37" s="71">
        <f t="shared" si="1"/>
        <v>-54.051260473455052</v>
      </c>
    </row>
    <row r="38" spans="2:5" ht="19" customHeight="1" outlineLevel="1" x14ac:dyDescent="0.35">
      <c r="B38" s="36" t="str">
        <f t="shared" si="4"/>
        <v>Materiais</v>
      </c>
      <c r="C38" s="30">
        <f xml:space="preserve">
IFERROR(
INDEX($BV$257:$ED$508,
MATCH(
_xlfn.CONCAT($B$6," | ",B38),$BQ$257:$BQ$508,0),
MATCH($C$8,BV$256:$ED$256,0)),
0)</f>
        <v>-24341</v>
      </c>
      <c r="D38" s="32">
        <f t="shared" si="3"/>
        <v>-26654</v>
      </c>
      <c r="E38" s="71">
        <f t="shared" si="1"/>
        <v>-8.6778719891948626</v>
      </c>
    </row>
    <row r="39" spans="2:5" ht="19" customHeight="1" outlineLevel="1" x14ac:dyDescent="0.35">
      <c r="B39" s="36" t="str">
        <f t="shared" si="4"/>
        <v>Serviços de terceiros</v>
      </c>
      <c r="C39" s="30">
        <f xml:space="preserve">
IFERROR(
INDEX($BV$257:$ED$508,
MATCH(
_xlfn.CONCAT($B$6," | ",B39),$BQ$257:$BQ$508,0),
MATCH($C$8,BV$256:$ED$256,0)),
0)</f>
        <v>-640052</v>
      </c>
      <c r="D39" s="32">
        <f t="shared" si="3"/>
        <v>-527007</v>
      </c>
      <c r="E39" s="71">
        <f t="shared" si="1"/>
        <v>21.450379216974348</v>
      </c>
    </row>
    <row r="40" spans="2:5" ht="19" customHeight="1" outlineLevel="1" x14ac:dyDescent="0.35">
      <c r="B40" s="36" t="str">
        <f t="shared" si="4"/>
        <v>Depreciação e amortização</v>
      </c>
      <c r="C40" s="30">
        <f xml:space="preserve">
IFERROR(
INDEX($BV$257:$ED$508,
MATCH(
_xlfn.CONCAT($B$6," | ",B40),$BQ$257:$BQ$508,0),
MATCH($C$8,BV$256:$ED$256,0)),
0)</f>
        <v>-410069</v>
      </c>
      <c r="D40" s="32">
        <f t="shared" si="3"/>
        <v>-368393</v>
      </c>
      <c r="E40" s="71">
        <f t="shared" si="1"/>
        <v>11.312918540797456</v>
      </c>
    </row>
    <row r="41" spans="2:5" ht="19" customHeight="1" outlineLevel="1" x14ac:dyDescent="0.35">
      <c r="B41" s="36" t="str">
        <f t="shared" si="4"/>
        <v>Provisões (reversões)</v>
      </c>
      <c r="C41" s="30">
        <f xml:space="preserve">
IFERROR(
INDEX($BV$257:$ED$508,
MATCH(
_xlfn.CONCAT($B$6," | ",B41),$BQ$257:$BQ$508,0),
MATCH($C$8,BV$256:$ED$256,0)),
0)</f>
        <v>-215149</v>
      </c>
      <c r="D41" s="32">
        <f t="shared" si="3"/>
        <v>-63999</v>
      </c>
      <c r="E41" s="71">
        <f t="shared" si="1"/>
        <v>236.17556524320693</v>
      </c>
    </row>
    <row r="42" spans="2:5" ht="19" customHeight="1" outlineLevel="1" x14ac:dyDescent="0.35">
      <c r="B42" s="36" t="str">
        <f t="shared" si="4"/>
        <v>Perda por redução ao valor recuperável</v>
      </c>
      <c r="C42" s="30">
        <f xml:space="preserve">
IFERROR(
INDEX($BV$257:$ED$508,
MATCH(
_xlfn.CONCAT($B$6," | ",B42),$BQ$257:$BQ$508,0),
MATCH($C$8,BV$256:$ED$256,0)),
0)</f>
        <v>0</v>
      </c>
      <c r="D42" s="32">
        <f t="shared" si="3"/>
        <v>0</v>
      </c>
      <c r="E42" s="71">
        <f t="shared" si="1"/>
        <v>0</v>
      </c>
    </row>
    <row r="43" spans="2:5" ht="19" customHeight="1" outlineLevel="1" x14ac:dyDescent="0.35">
      <c r="B43" s="36" t="str">
        <f t="shared" si="4"/>
        <v>Perdas de créditos esperadas</v>
      </c>
      <c r="C43" s="30">
        <f xml:space="preserve">
IFERROR(
INDEX($BV$257:$ED$508,
MATCH(
_xlfn.CONCAT($B$6," | ",B43),$BQ$257:$BQ$508,0),
MATCH($C$8,BV$256:$ED$256,0)),
0)</f>
        <v>177013</v>
      </c>
      <c r="D43" s="32">
        <f t="shared" si="3"/>
        <v>-3098</v>
      </c>
      <c r="E43" s="71">
        <f t="shared" si="1"/>
        <v>-5813.7830858618463</v>
      </c>
    </row>
    <row r="44" spans="2:5" ht="19" customHeight="1" outlineLevel="1" x14ac:dyDescent="0.35">
      <c r="B44" s="36" t="str">
        <f t="shared" si="4"/>
        <v>Perda esperada com outros créditos</v>
      </c>
      <c r="C44" s="30">
        <f xml:space="preserve">
IFERROR(
INDEX($BV$257:$ED$508,
MATCH(
_xlfn.CONCAT($B$6," | ",B44),$BQ$257:$BQ$508,0),
MATCH($C$8,BV$256:$ED$256,0)),
0)</f>
        <v>-50312</v>
      </c>
      <c r="D44" s="32">
        <f t="shared" si="3"/>
        <v>-30126</v>
      </c>
      <c r="E44" s="71">
        <f t="shared" si="1"/>
        <v>67.005244639182095</v>
      </c>
    </row>
    <row r="45" spans="2:5" ht="19" customHeight="1" outlineLevel="1" x14ac:dyDescent="0.35">
      <c r="B45" s="36" t="str">
        <f t="shared" si="4"/>
        <v>Provisão de perda esperada com parte relacionada</v>
      </c>
      <c r="C45" s="30">
        <f xml:space="preserve">
IFERROR(
INDEX($BV$257:$ED$508,
MATCH(
_xlfn.CONCAT($B$6," | ",B45),$BQ$257:$BQ$508,0),
MATCH($C$8,BV$256:$ED$256,0)),
0)</f>
        <v>0</v>
      </c>
      <c r="D45" s="32">
        <f t="shared" si="3"/>
        <v>0</v>
      </c>
      <c r="E45" s="71">
        <f t="shared" si="1"/>
        <v>0</v>
      </c>
    </row>
    <row r="46" spans="2:5" ht="19" customHeight="1" outlineLevel="1" x14ac:dyDescent="0.35">
      <c r="B46" s="36" t="str">
        <f t="shared" si="4"/>
        <v>Baixa de ativo financeiro</v>
      </c>
      <c r="C46" s="30">
        <f xml:space="preserve">
IFERROR(
INDEX($BV$257:$ED$508,
MATCH(
_xlfn.CONCAT($B$6," | ",B46),$BQ$257:$BQ$508,0),
MATCH($C$8,BV$256:$ED$256,0)),
0)</f>
        <v>0</v>
      </c>
      <c r="D46" s="32">
        <f t="shared" si="3"/>
        <v>0</v>
      </c>
      <c r="E46" s="71">
        <f t="shared" si="1"/>
        <v>0</v>
      </c>
    </row>
    <row r="47" spans="2:5" ht="19" customHeight="1" outlineLevel="1" x14ac:dyDescent="0.35">
      <c r="B47" s="36" t="str">
        <f t="shared" si="4"/>
        <v>Reversão de provisão com parte relacionada</v>
      </c>
      <c r="C47" s="30">
        <f xml:space="preserve">
IFERROR(
INDEX($BV$257:$ED$508,
MATCH(
_xlfn.CONCAT($B$6," | ",B47),$BQ$257:$BQ$508,0),
MATCH($C$8,BV$256:$ED$256,0)),
0)</f>
        <v>0</v>
      </c>
      <c r="D47" s="32">
        <f t="shared" si="3"/>
        <v>0</v>
      </c>
      <c r="E47" s="71">
        <f t="shared" si="1"/>
        <v>0</v>
      </c>
    </row>
    <row r="48" spans="2:5" ht="19" customHeight="1" outlineLevel="1" x14ac:dyDescent="0.35">
      <c r="B48" s="36" t="str">
        <f t="shared" si="4"/>
        <v>Remensuração RBSE</v>
      </c>
      <c r="C48" s="30">
        <f xml:space="preserve">
IFERROR(
INDEX($BV$257:$ED$508,
MATCH(
_xlfn.CONCAT($B$6," | ",B48),$BQ$257:$BQ$508,0),
MATCH($C$8,BV$256:$ED$256,0)),
0)</f>
        <v>0</v>
      </c>
      <c r="D48" s="32">
        <f t="shared" si="3"/>
        <v>-198895</v>
      </c>
      <c r="E48" s="71">
        <f t="shared" si="1"/>
        <v>-100</v>
      </c>
    </row>
    <row r="49" spans="2:5" ht="19" customHeight="1" outlineLevel="1" x14ac:dyDescent="0.35">
      <c r="B49" s="36" t="str">
        <f t="shared" si="4"/>
        <v>Outros custos e despesas</v>
      </c>
      <c r="C49" s="30">
        <f xml:space="preserve">
IFERROR(
INDEX($BV$257:$ED$508,
MATCH(
_xlfn.CONCAT($B$6," | ",B49),$BQ$257:$BQ$508,0),
MATCH($C$8,BV$256:$ED$256,0)),
0)</f>
        <v>-163717</v>
      </c>
      <c r="D49" s="32">
        <f t="shared" si="3"/>
        <v>-138641</v>
      </c>
      <c r="E49" s="71">
        <f t="shared" si="1"/>
        <v>18.087001680599535</v>
      </c>
    </row>
    <row r="50" spans="2:5" ht="19" customHeight="1" outlineLevel="1" collapsed="1" x14ac:dyDescent="0.35">
      <c r="B50" s="453" t="str">
        <f>BV298</f>
        <v xml:space="preserve">Outras receitas </v>
      </c>
      <c r="C50" s="51">
        <f>SUM(C51:C57)</f>
        <v>0</v>
      </c>
      <c r="D50" s="51">
        <f>SUM(D51:D57)</f>
        <v>0</v>
      </c>
      <c r="E50" s="72">
        <f t="shared" ref="E50:E57" si="5">IFERROR(((C50/D50)-1)*100,0)</f>
        <v>0</v>
      </c>
    </row>
    <row r="51" spans="2:5" ht="19" hidden="1" customHeight="1" outlineLevel="2" x14ac:dyDescent="0.35">
      <c r="B51" s="454" t="str">
        <f t="shared" si="4"/>
        <v>Ganho na alienação de imobilizados</v>
      </c>
      <c r="C51" s="30">
        <f xml:space="preserve">
IFERROR(
INDEX($BV$257:$ED$508,
MATCH(
_xlfn.CONCAT($B$6," | ",B51),$BQ$257:$BQ$508,0),
MATCH($C$8,BV$256:$ED$256,0)),
0)</f>
        <v>0</v>
      </c>
      <c r="D51" s="32">
        <f t="shared" ref="D51:D59" si="6" xml:space="preserve">
IFERROR(
INDEX($BV$257:$ED$508,
MATCH(
_xlfn.CONCAT($B$6," | ",B51),$BQ$257:$BQ$508,0),
MATCH($D$8,$BV$256:$ED$256,0)),
0)</f>
        <v>0</v>
      </c>
      <c r="E51" s="71">
        <f t="shared" si="5"/>
        <v>0</v>
      </c>
    </row>
    <row r="52" spans="2:5" ht="19" hidden="1" customHeight="1" outlineLevel="2" x14ac:dyDescent="0.35">
      <c r="B52" s="454" t="str">
        <f t="shared" si="4"/>
        <v>Ganho na alienação de intangíveis</v>
      </c>
      <c r="C52" s="30">
        <f xml:space="preserve">
IFERROR(
INDEX($BV$257:$ED$508,
MATCH(
_xlfn.CONCAT($B$6," | ",B52),$BQ$257:$BQ$508,0),
MATCH($C$8,BV$256:$ED$256,0)),
0)</f>
        <v>0</v>
      </c>
      <c r="D52" s="32">
        <f t="shared" si="6"/>
        <v>0</v>
      </c>
      <c r="E52" s="71">
        <f t="shared" ref="E52" si="7">IFERROR(((C52/D52)-1)*100,0)</f>
        <v>0</v>
      </c>
    </row>
    <row r="53" spans="2:5" ht="19" hidden="1" customHeight="1" outlineLevel="2" x14ac:dyDescent="0.35">
      <c r="B53" s="454" t="str">
        <f t="shared" si="4"/>
        <v>Ganho na alienação de investimentos</v>
      </c>
      <c r="C53" s="30">
        <f xml:space="preserve">
IFERROR(
INDEX($BV$257:$ED$508,
MATCH(
_xlfn.CONCAT($B$6," | ",B53),$BQ$257:$BQ$508,0),
MATCH($C$8,BV$256:$ED$256,0)),
0)</f>
        <v>0</v>
      </c>
      <c r="D53" s="32">
        <f t="shared" si="6"/>
        <v>0</v>
      </c>
      <c r="E53" s="71">
        <f t="shared" si="5"/>
        <v>0</v>
      </c>
    </row>
    <row r="54" spans="2:5" ht="19" hidden="1" customHeight="1" outlineLevel="2" x14ac:dyDescent="0.35">
      <c r="B54" s="454" t="str">
        <f t="shared" si="4"/>
        <v>Ganho por compra vantajosa</v>
      </c>
      <c r="C54" s="30">
        <f xml:space="preserve">
IFERROR(
INDEX($BV$257:$ED$508,
MATCH(
_xlfn.CONCAT($B$6," | ",B54),$BQ$257:$BQ$508,0),
MATCH($C$8,BV$256:$ED$256,0)),
0)</f>
        <v>0</v>
      </c>
      <c r="D54" s="32">
        <f t="shared" si="6"/>
        <v>0</v>
      </c>
      <c r="E54" s="71">
        <f t="shared" si="5"/>
        <v>0</v>
      </c>
    </row>
    <row r="55" spans="2:5" ht="19" hidden="1" customHeight="1" outlineLevel="2" x14ac:dyDescent="0.35">
      <c r="B55" s="454" t="str">
        <f t="shared" si="4"/>
        <v>Ganho de Capital</v>
      </c>
      <c r="C55" s="30">
        <f xml:space="preserve">
IFERROR(
INDEX($BV$257:$ED$508,
MATCH(
_xlfn.CONCAT($B$6," | ",B55),$BQ$257:$BQ$508,0),
MATCH($C$8,BV$256:$ED$256,0)),
0)</f>
        <v>0</v>
      </c>
      <c r="D55" s="32">
        <f t="shared" si="6"/>
        <v>0</v>
      </c>
      <c r="E55" s="71">
        <f t="shared" si="5"/>
        <v>0</v>
      </c>
    </row>
    <row r="56" spans="2:5" ht="19" hidden="1" customHeight="1" outlineLevel="2" x14ac:dyDescent="0.35">
      <c r="B56" s="454" t="str">
        <f t="shared" si="4"/>
        <v>Ajuste a valor justo da participação anterior</v>
      </c>
      <c r="C56" s="30">
        <f xml:space="preserve">
IFERROR(
INDEX($BV$257:$ED$508,
MATCH(
_xlfn.CONCAT($B$6," | ",B56),$BQ$257:$BQ$508,0),
MATCH($C$8,BV$256:$ED$256,0)),
0)</f>
        <v>0</v>
      </c>
      <c r="D56" s="32">
        <f t="shared" si="6"/>
        <v>0</v>
      </c>
      <c r="E56" s="71">
        <f t="shared" si="5"/>
        <v>0</v>
      </c>
    </row>
    <row r="57" spans="2:5" ht="19" hidden="1" customHeight="1" outlineLevel="2" x14ac:dyDescent="0.35">
      <c r="B57" s="454" t="str">
        <f t="shared" si="4"/>
        <v>Resultado da Revisão Tarifária Periódica</v>
      </c>
      <c r="C57" s="30">
        <f xml:space="preserve">
IFERROR(
INDEX($BV$257:$ED$508,
MATCH(
_xlfn.CONCAT($B$6," | ",B57),$BQ$257:$BQ$508,0),
MATCH($C$8,BV$256:$ED$256,0)),
0)</f>
        <v>0</v>
      </c>
      <c r="D57" s="32">
        <f t="shared" si="6"/>
        <v>0</v>
      </c>
      <c r="E57" s="71">
        <f t="shared" si="5"/>
        <v>0</v>
      </c>
    </row>
    <row r="58" spans="2:5" ht="19" customHeight="1" outlineLevel="1" x14ac:dyDescent="0.35">
      <c r="B58" s="446" t="str">
        <f>BV306</f>
        <v>Outros</v>
      </c>
      <c r="C58" s="445">
        <f xml:space="preserve">
IFERROR(
INDEX($BV$257:$ED$508,
MATCH(
_xlfn.CONCAT($B$6," | ",B58),$BQ$257:$BQ$508,0),
MATCH($C$8,BV$256:$ED$256,0)),
0)</f>
        <v>0</v>
      </c>
      <c r="D58" s="444">
        <f t="shared" si="6"/>
        <v>0</v>
      </c>
      <c r="E58" s="443"/>
    </row>
    <row r="59" spans="2:5" ht="25" customHeight="1" x14ac:dyDescent="0.35">
      <c r="B59" s="42" t="s">
        <v>8</v>
      </c>
      <c r="C59" s="66">
        <f xml:space="preserve">
IFERROR(
INDEX($BV$257:$ED$508,
MATCH(
_xlfn.CONCAT($B$6," | ",B59),$BQ$257:$BQ$508,0),
MATCH($C$8,$BV$256:$ED$256,0)),
0)</f>
        <v>91383</v>
      </c>
      <c r="D59" s="52">
        <f t="shared" si="6"/>
        <v>77418</v>
      </c>
      <c r="E59" s="73">
        <f t="shared" si="1"/>
        <v>18.038440672711765</v>
      </c>
    </row>
    <row r="60" spans="2:5" ht="25" customHeight="1" x14ac:dyDescent="0.35">
      <c r="B60" s="42" t="s">
        <v>9</v>
      </c>
      <c r="C60" s="52">
        <f>SUM(C9,C30,C59)</f>
        <v>1829246</v>
      </c>
      <c r="D60" s="52">
        <f>IFERROR(SUM(D9,D30,D59),0)</f>
        <v>1690677</v>
      </c>
      <c r="E60" s="73">
        <f t="shared" si="1"/>
        <v>8.1960658363483994</v>
      </c>
    </row>
    <row r="61" spans="2:5" ht="25" customHeight="1" x14ac:dyDescent="0.35">
      <c r="B61" s="42" t="s">
        <v>10</v>
      </c>
      <c r="C61" s="52">
        <f>IFERROR(SUM(C62:C63),0)</f>
        <v>-795905</v>
      </c>
      <c r="D61" s="52">
        <f>IFERROR(SUM(D62:D63),0)</f>
        <v>-312587</v>
      </c>
      <c r="E61" s="73">
        <f t="shared" si="1"/>
        <v>154.61871414998063</v>
      </c>
    </row>
    <row r="62" spans="2:5" ht="19" customHeight="1" x14ac:dyDescent="0.35">
      <c r="B62" s="36" t="s">
        <v>11</v>
      </c>
      <c r="C62" s="30">
        <f xml:space="preserve">
IFERROR(
INDEX($BV$257:$ED$508,
MATCH(
_xlfn.CONCAT($B$6," | ",B62),$BQ$257:$BQ$508,0),
MATCH($C$8,BV$256:$ED$256,0)),
0)</f>
        <v>290189</v>
      </c>
      <c r="D62" s="32">
        <f xml:space="preserve">
IFERROR(
INDEX($BV$257:$ED$508,
MATCH(
_xlfn.CONCAT($B$6," | ",B62),$BQ$257:$BQ$508,0),
MATCH($D$8,$BV$256:$ED$256,0)),
0)</f>
        <v>302444</v>
      </c>
      <c r="E62" s="71">
        <f t="shared" si="1"/>
        <v>-4.0519897898453898</v>
      </c>
    </row>
    <row r="63" spans="2:5" ht="19" customHeight="1" x14ac:dyDescent="0.35">
      <c r="B63" s="36" t="s">
        <v>12</v>
      </c>
      <c r="C63" s="30">
        <f xml:space="preserve">
IFERROR(
INDEX($BV$257:$ED$508,
MATCH(
_xlfn.CONCAT($B$6," | ",B63),$BQ$257:$BQ$508,0),
MATCH($C$8,BV$256:$ED$256,0)),
0)</f>
        <v>-1086094</v>
      </c>
      <c r="D63" s="32">
        <f xml:space="preserve">
IFERROR(
INDEX($BV$257:$ED$508,
MATCH(
_xlfn.CONCAT($B$6," | ",B63),$BQ$257:$BQ$508,0),
MATCH($D$8,$BV$256:$ED$256,0)),
0)</f>
        <v>-615031</v>
      </c>
      <c r="E63" s="71">
        <f t="shared" si="1"/>
        <v>76.591749033788531</v>
      </c>
    </row>
    <row r="64" spans="2:5" ht="25" customHeight="1" x14ac:dyDescent="0.35">
      <c r="B64" s="42" t="s">
        <v>13</v>
      </c>
      <c r="C64" s="52">
        <f>IFERROR(SUM(C60:C61),0)</f>
        <v>1033341</v>
      </c>
      <c r="D64" s="52">
        <f>IFERROR(SUM(D60:D61),0)</f>
        <v>1378090</v>
      </c>
      <c r="E64" s="73">
        <f t="shared" si="1"/>
        <v>-25.016435791566593</v>
      </c>
    </row>
    <row r="65" spans="2:5" ht="25" customHeight="1" x14ac:dyDescent="0.35">
      <c r="B65" s="18" t="s">
        <v>14</v>
      </c>
      <c r="C65" s="52">
        <f>IFERROR(SUM(C66:C67),0)</f>
        <v>-87897</v>
      </c>
      <c r="D65" s="52">
        <f>IFERROR(SUM(D66:D67),0)</f>
        <v>-189809</v>
      </c>
      <c r="E65" s="73">
        <f t="shared" si="1"/>
        <v>-53.691869194822161</v>
      </c>
    </row>
    <row r="66" spans="2:5" ht="19" customHeight="1" x14ac:dyDescent="0.35">
      <c r="B66" s="36" t="s">
        <v>15</v>
      </c>
      <c r="C66" s="30">
        <f xml:space="preserve">
IFERROR(
INDEX($BV$257:$ED$508,
MATCH(
_xlfn.CONCAT($B$6," | ",B66),$BQ$257:$BQ$508,0),
MATCH($C$8,BV$256:$ED$256,0)),
0)</f>
        <v>-83701</v>
      </c>
      <c r="D66" s="32">
        <f xml:space="preserve">
IFERROR(
INDEX($BV$257:$ED$508,
MATCH(
_xlfn.CONCAT($B$6," | ",B66),$BQ$257:$BQ$508,0),
MATCH($D$8,$BV$256:$ED$256,0)),
0)</f>
        <v>-249538</v>
      </c>
      <c r="E66" s="71">
        <f t="shared" si="1"/>
        <v>-66.457613670062273</v>
      </c>
    </row>
    <row r="67" spans="2:5" ht="19" customHeight="1" x14ac:dyDescent="0.35">
      <c r="B67" s="36" t="s">
        <v>16</v>
      </c>
      <c r="C67" s="30">
        <f xml:space="preserve">
IFERROR(
INDEX($BV$257:$ED$508,
MATCH(
_xlfn.CONCAT($B$6," | ",B67),$BQ$257:$BQ$508,0),
MATCH($C$8,BV$256:$ED$256,0)),
0)</f>
        <v>-4196</v>
      </c>
      <c r="D67" s="32">
        <f xml:space="preserve">
IFERROR(
INDEX($BV$257:$ED$508,
MATCH(
_xlfn.CONCAT($B$6," | ",B67),$BQ$257:$BQ$508,0),
MATCH($D$8,$BV$256:$ED$256,0)),
0)</f>
        <v>59729</v>
      </c>
      <c r="E67" s="71">
        <f t="shared" si="1"/>
        <v>-107.02506320212962</v>
      </c>
    </row>
    <row r="68" spans="2:5" ht="25" customHeight="1" x14ac:dyDescent="0.35">
      <c r="B68" s="42" t="s">
        <v>17</v>
      </c>
      <c r="C68" s="53">
        <f>IFERROR(SUM(C69:C70),0)</f>
        <v>945444</v>
      </c>
      <c r="D68" s="53">
        <f>IFERROR(SUM(D69:D70),0)</f>
        <v>1188281</v>
      </c>
      <c r="E68" s="73">
        <f t="shared" si="1"/>
        <v>-20.435991150241396</v>
      </c>
    </row>
    <row r="69" spans="2:5" ht="19" customHeight="1" x14ac:dyDescent="0.35">
      <c r="B69" s="54" t="s">
        <v>18</v>
      </c>
      <c r="C69" s="30">
        <f xml:space="preserve">
IFERROR(
INDEX($BV$257:$ED$508,
MATCH(
_xlfn.CONCAT($B$6," | ",B69),$BQ$257:$BQ$508,0),
MATCH($C$8,BV$256:$ED$256,0)),
0)</f>
        <v>945032</v>
      </c>
      <c r="D69" s="32">
        <f xml:space="preserve">
IFERROR(
INDEX($BV$257:$ED$508,
MATCH(
_xlfn.CONCAT($B$6," | ",B69),$BQ$257:$BQ$508,0),
MATCH($D$8,$BV$256:$ED$256,0)),
0)</f>
        <v>1187633</v>
      </c>
      <c r="E69" s="71">
        <f t="shared" si="1"/>
        <v>-20.427270040492306</v>
      </c>
    </row>
    <row r="70" spans="2:5" ht="19" customHeight="1" x14ac:dyDescent="0.35">
      <c r="B70" s="54" t="s">
        <v>19</v>
      </c>
      <c r="C70" s="30">
        <f xml:space="preserve">
IFERROR(
INDEX($BV$257:$ED$508,
MATCH(
_xlfn.CONCAT($B$6," | ",B70),$BQ$257:$BQ$508,0),
MATCH($C$8,BV$256:$ED$256,0)),
0)</f>
        <v>412</v>
      </c>
      <c r="D70" s="32">
        <f xml:space="preserve">
IFERROR(
INDEX($BV$257:$ED$508,
MATCH(
_xlfn.CONCAT($B$6," | ",B70),$BQ$257:$BQ$508,0),
MATCH($D$8,$BV$256:$ED$256,0)),
0)</f>
        <v>648</v>
      </c>
      <c r="E70" s="71">
        <f t="shared" si="1"/>
        <v>-36.419753086419746</v>
      </c>
    </row>
    <row r="71" spans="2:5" ht="25" customHeight="1" x14ac:dyDescent="0.35">
      <c r="B71" s="56" t="s">
        <v>20</v>
      </c>
      <c r="C71" s="333">
        <f xml:space="preserve">
IFERROR(
INDEX($BV$257:$ED$508,
MATCH(
_xlfn.CONCAT($B$6," | ",B71),$BQ$257:$BQ$508,0),
MATCH($C$8,BV$256:$ED$256,0)),
0)</f>
        <v>0.33</v>
      </c>
      <c r="D71" s="334">
        <f xml:space="preserve">
IFERROR(
INDEX($BV$257:$ED$508,
MATCH(
_xlfn.CONCAT($B$6," | ",B71),$BQ$257:$BQ$508,0),
MATCH($D$8,$BV$256:$ED$256,0)),
0)</f>
        <v>0.42</v>
      </c>
      <c r="E71" s="73">
        <f t="shared" si="1"/>
        <v>-21.42857142857142</v>
      </c>
    </row>
    <row r="72" spans="2:5" ht="25" customHeight="1" thickBot="1" x14ac:dyDescent="0.4">
      <c r="B72" s="331" t="s">
        <v>21</v>
      </c>
      <c r="C72" s="335">
        <f xml:space="preserve">
IFERROR(
INDEX($BV$257:$ED$508,
MATCH(
_xlfn.CONCAT($B$6," | ",B72),$BQ$257:$BQ$508,0),
MATCH($C$8,$BV$256:$ED$256,0)),
0)</f>
        <v>0.33</v>
      </c>
      <c r="D72" s="336">
        <f xml:space="preserve">
IFERROR(
INDEX($BY$257:$ED$508,
MATCH(
_xlfn.CONCAT($B$6," | ",B72),$BQ$257:$BQ$508,0),
MATCH($D$8,$BY$256:$ED$256,0)),
0)</f>
        <v>0.42</v>
      </c>
      <c r="E72" s="332">
        <f t="shared" si="1"/>
        <v>-21.42857142857142</v>
      </c>
    </row>
    <row r="74" spans="2:5" ht="25" customHeight="1" x14ac:dyDescent="0.35">
      <c r="B74" s="448"/>
      <c r="C74" s="449"/>
      <c r="E74" s="369"/>
    </row>
    <row r="75" spans="2:5" ht="23.15" customHeight="1" x14ac:dyDescent="0.35">
      <c r="B75" s="450"/>
      <c r="C75" s="451"/>
      <c r="D75" s="451"/>
    </row>
    <row r="76" spans="2:5" ht="19" customHeight="1" x14ac:dyDescent="0.35">
      <c r="B76" s="452"/>
      <c r="C76" s="451"/>
      <c r="D76" s="451"/>
    </row>
    <row r="77" spans="2:5" ht="19" customHeight="1" x14ac:dyDescent="0.35">
      <c r="B77" s="452"/>
      <c r="C77" s="451"/>
      <c r="D77" s="451"/>
    </row>
    <row r="78" spans="2:5" ht="19" customHeight="1" x14ac:dyDescent="0.35">
      <c r="B78" s="452"/>
      <c r="C78" s="451"/>
      <c r="D78" s="451"/>
    </row>
    <row r="79" spans="2:5" ht="19" customHeight="1" x14ac:dyDescent="0.35">
      <c r="B79" s="452"/>
      <c r="C79" s="451"/>
      <c r="D79" s="451"/>
    </row>
    <row r="80" spans="2:5" ht="19" customHeight="1" x14ac:dyDescent="0.35">
      <c r="B80" s="452"/>
      <c r="C80" s="451"/>
      <c r="D80" s="451"/>
    </row>
    <row r="252" spans="74:100" ht="45" customHeight="1" x14ac:dyDescent="0.35">
      <c r="BV252" s="478" t="s">
        <v>24</v>
      </c>
      <c r="BW252" s="478"/>
      <c r="BX252" s="478"/>
      <c r="BY252" s="478"/>
      <c r="BZ252" s="478"/>
      <c r="CA252" s="478"/>
      <c r="CB252" s="478"/>
      <c r="CC252" s="478"/>
      <c r="CD252" s="478"/>
      <c r="CE252" s="478"/>
      <c r="CF252" s="478"/>
      <c r="CG252" s="478"/>
      <c r="CH252" s="478"/>
      <c r="CI252" s="478"/>
      <c r="CJ252" s="478"/>
      <c r="CK252" s="478"/>
      <c r="CL252" s="478"/>
      <c r="CM252" s="478"/>
      <c r="CN252" s="478"/>
      <c r="CO252" s="478"/>
      <c r="CP252" s="478"/>
      <c r="CQ252" s="478"/>
      <c r="CR252" s="478"/>
      <c r="CS252" s="478"/>
      <c r="CT252" s="478"/>
      <c r="CU252" s="478"/>
      <c r="CV252" s="478"/>
    </row>
    <row r="253" spans="74:100" ht="10" customHeight="1" x14ac:dyDescent="0.35">
      <c r="BV253" s="111"/>
      <c r="BW253" s="111"/>
      <c r="BX253" s="111"/>
      <c r="BY253" s="111"/>
      <c r="BZ253" s="111"/>
      <c r="CA253" s="111"/>
      <c r="CB253" s="111"/>
      <c r="CC253" s="111"/>
      <c r="CD253" s="111"/>
      <c r="CE253" s="111"/>
      <c r="CF253" s="111"/>
      <c r="CG253" s="111"/>
      <c r="CH253" s="111"/>
      <c r="CI253" s="111"/>
      <c r="CJ253" s="111"/>
      <c r="CK253" s="111"/>
      <c r="CL253" s="111"/>
      <c r="CM253" s="111"/>
      <c r="CN253" s="111"/>
      <c r="CO253" s="111"/>
      <c r="CP253" s="111"/>
      <c r="CQ253" s="111"/>
      <c r="CR253" s="111"/>
      <c r="CS253" s="111"/>
      <c r="CT253" s="111"/>
      <c r="CU253" s="111"/>
      <c r="CV253" s="111"/>
    </row>
    <row r="254" spans="74:100" ht="40" customHeight="1" x14ac:dyDescent="0.35">
      <c r="BV254" s="479" t="s">
        <v>1</v>
      </c>
      <c r="BW254" s="479"/>
      <c r="BX254" s="479"/>
      <c r="BY254" s="479"/>
      <c r="BZ254" s="479"/>
      <c r="CA254" s="479"/>
      <c r="CB254" s="479"/>
      <c r="CC254" s="479"/>
      <c r="CD254" s="479"/>
      <c r="CE254" s="479"/>
      <c r="CF254" s="479"/>
      <c r="CG254" s="479"/>
      <c r="CH254" s="479"/>
      <c r="CI254" s="479"/>
      <c r="CJ254" s="479"/>
      <c r="CK254" s="479"/>
      <c r="CL254" s="479"/>
      <c r="CM254" s="479"/>
      <c r="CN254" s="479"/>
      <c r="CO254" s="479"/>
      <c r="CP254" s="479"/>
      <c r="CQ254" s="479"/>
      <c r="CR254" s="479"/>
      <c r="CS254" s="479"/>
      <c r="CT254" s="479"/>
      <c r="CU254" s="479"/>
      <c r="CV254" s="479"/>
    </row>
    <row r="255" spans="74:100" ht="15" customHeight="1" x14ac:dyDescent="0.35">
      <c r="BV255" s="82" t="s">
        <v>25</v>
      </c>
      <c r="BW255" s="82"/>
      <c r="BX255" s="82"/>
    </row>
    <row r="256" spans="74:100" ht="35.15" customHeight="1" x14ac:dyDescent="0.35">
      <c r="BV256" s="337" t="s">
        <v>4</v>
      </c>
      <c r="BW256" s="338" t="s">
        <v>26</v>
      </c>
      <c r="BX256" s="338" t="s">
        <v>2</v>
      </c>
      <c r="BY256" s="338" t="s">
        <v>22</v>
      </c>
      <c r="BZ256" s="338" t="s">
        <v>27</v>
      </c>
      <c r="CA256" s="338" t="s">
        <v>28</v>
      </c>
      <c r="CB256" s="338" t="s">
        <v>29</v>
      </c>
      <c r="CC256" s="338" t="s">
        <v>30</v>
      </c>
      <c r="CD256" s="338" t="s">
        <v>31</v>
      </c>
      <c r="CE256" s="338" t="s">
        <v>32</v>
      </c>
      <c r="CF256" s="338" t="s">
        <v>33</v>
      </c>
      <c r="CG256" s="338" t="s">
        <v>34</v>
      </c>
      <c r="CH256" s="338" t="s">
        <v>35</v>
      </c>
      <c r="CI256" s="338" t="s">
        <v>36</v>
      </c>
      <c r="CJ256" s="338" t="s">
        <v>37</v>
      </c>
      <c r="CK256" s="338" t="s">
        <v>38</v>
      </c>
      <c r="CL256" s="338" t="s">
        <v>39</v>
      </c>
      <c r="CM256" s="338" t="s">
        <v>40</v>
      </c>
      <c r="CN256" s="338" t="s">
        <v>41</v>
      </c>
      <c r="CO256" s="338" t="s">
        <v>42</v>
      </c>
      <c r="CP256" s="338" t="s">
        <v>43</v>
      </c>
      <c r="CQ256" s="338" t="s">
        <v>44</v>
      </c>
      <c r="CR256" s="338" t="s">
        <v>45</v>
      </c>
      <c r="CS256" s="338" t="s">
        <v>46</v>
      </c>
      <c r="CT256" s="338" t="s">
        <v>47</v>
      </c>
      <c r="CU256" s="338" t="s">
        <v>48</v>
      </c>
      <c r="CV256" s="338" t="s">
        <v>49</v>
      </c>
    </row>
    <row r="257" spans="69:100" ht="25" customHeight="1" x14ac:dyDescent="0.35">
      <c r="BV257" s="42" t="s">
        <v>6</v>
      </c>
      <c r="BW257" s="46">
        <f>IFERROR(SUM(BW258:BW261,BW263:BW277),0)</f>
        <v>11156238</v>
      </c>
      <c r="BX257" s="46">
        <f>IFERROR(SUM(BX258:BX261,BX263:BX277),0)</f>
        <v>10462543</v>
      </c>
      <c r="BY257" s="46">
        <f>IFERROR(SUM(BY258:BY261,BY263:BY277),0)</f>
        <v>11501016</v>
      </c>
      <c r="BZ257" s="46">
        <f t="shared" ref="BZ257:CV257" si="8">IFERROR(SUM(BZ258:BZ261,BZ263:BZ277),0)</f>
        <v>10619741</v>
      </c>
      <c r="CA257" s="46">
        <f t="shared" si="8"/>
        <v>10786295</v>
      </c>
      <c r="CB257" s="46">
        <f t="shared" si="8"/>
        <v>9844231</v>
      </c>
      <c r="CC257" s="46">
        <f t="shared" si="8"/>
        <v>11176877</v>
      </c>
      <c r="CD257" s="46">
        <f t="shared" si="8"/>
        <v>10148885</v>
      </c>
      <c r="CE257" s="46">
        <f t="shared" si="8"/>
        <v>9435991</v>
      </c>
      <c r="CF257" s="46">
        <f t="shared" si="8"/>
        <v>9057867</v>
      </c>
      <c r="CG257" s="46">
        <f t="shared" si="8"/>
        <v>9956686</v>
      </c>
      <c r="CH257" s="46">
        <f t="shared" si="8"/>
        <v>9426629</v>
      </c>
      <c r="CI257" s="46">
        <f t="shared" si="8"/>
        <v>8819517</v>
      </c>
      <c r="CJ257" s="46">
        <f t="shared" si="8"/>
        <v>8646937</v>
      </c>
      <c r="CK257" s="46">
        <f t="shared" si="8"/>
        <v>9178669</v>
      </c>
      <c r="CL257" s="46">
        <f t="shared" si="8"/>
        <v>9223311</v>
      </c>
      <c r="CM257" s="46">
        <f t="shared" si="8"/>
        <v>8213380</v>
      </c>
      <c r="CN257" s="46">
        <f t="shared" si="8"/>
        <v>7847448</v>
      </c>
      <c r="CO257" s="46">
        <f t="shared" si="8"/>
        <v>9656728</v>
      </c>
      <c r="CP257" s="46">
        <f t="shared" si="8"/>
        <v>9524667</v>
      </c>
      <c r="CQ257" s="46">
        <f t="shared" si="8"/>
        <v>7353982</v>
      </c>
      <c r="CR257" s="46">
        <f t="shared" si="8"/>
        <v>7110741</v>
      </c>
      <c r="CS257" s="46">
        <f t="shared" si="8"/>
        <v>7264341</v>
      </c>
      <c r="CT257" s="46">
        <f t="shared" si="8"/>
        <v>6421183</v>
      </c>
      <c r="CU257" s="46">
        <f t="shared" si="8"/>
        <v>5500117</v>
      </c>
      <c r="CV257" s="46">
        <f t="shared" si="8"/>
        <v>6041984</v>
      </c>
    </row>
    <row r="258" spans="69:100" ht="19" customHeight="1" x14ac:dyDescent="0.35">
      <c r="BQ258" s="1" t="str">
        <f t="shared" ref="BQ258:BQ277" si="9">_xlfn.CONCAT($BV$254," | ",BV258)</f>
        <v>CEMIG | Fornecimento bruto de energia elétrica</v>
      </c>
      <c r="BT258" s="390"/>
      <c r="BV258" s="35" t="s">
        <v>50</v>
      </c>
      <c r="BW258" s="30">
        <v>9055911</v>
      </c>
      <c r="BX258" s="30">
        <v>8995136</v>
      </c>
      <c r="BY258" s="30">
        <v>9761949</v>
      </c>
      <c r="BZ258" s="32">
        <v>9079299</v>
      </c>
      <c r="CA258" s="32">
        <v>8686379</v>
      </c>
      <c r="CB258" s="32">
        <v>8374412</v>
      </c>
      <c r="CC258" s="32">
        <v>9621909</v>
      </c>
      <c r="CD258" s="32">
        <v>8556096</v>
      </c>
      <c r="CE258" s="32">
        <v>8144077</v>
      </c>
      <c r="CF258" s="32">
        <v>8019144</v>
      </c>
      <c r="CG258" s="32">
        <v>8917462</v>
      </c>
      <c r="CH258" s="32">
        <v>8130020</v>
      </c>
      <c r="CI258" s="32">
        <v>7528639</v>
      </c>
      <c r="CJ258" s="32">
        <v>7095344</v>
      </c>
      <c r="CK258" s="32">
        <v>6903998</v>
      </c>
      <c r="CL258" s="32">
        <v>7105782</v>
      </c>
      <c r="CM258" s="32">
        <v>7844552</v>
      </c>
      <c r="CN258" s="32">
        <v>8304056</v>
      </c>
      <c r="CO258" s="32">
        <v>8089472</v>
      </c>
      <c r="CP258" s="32">
        <v>7740212</v>
      </c>
      <c r="CQ258" s="32">
        <v>6837733</v>
      </c>
      <c r="CR258" s="32">
        <v>6951837</v>
      </c>
      <c r="CS258" s="32">
        <v>7051718</v>
      </c>
      <c r="CT258" s="32">
        <v>6692911</v>
      </c>
      <c r="CU258" s="32">
        <v>5920014</v>
      </c>
      <c r="CV258" s="32">
        <v>6767438</v>
      </c>
    </row>
    <row r="259" spans="69:100" ht="19" customHeight="1" x14ac:dyDescent="0.35">
      <c r="BQ259" s="1" t="str">
        <f t="shared" si="9"/>
        <v>CEMIG | Receita de uso dos sistemas elétricos de distribuição – TUSD</v>
      </c>
      <c r="BT259" s="390"/>
      <c r="BV259" s="49" t="s">
        <v>51</v>
      </c>
      <c r="BW259" s="30">
        <v>1633700</v>
      </c>
      <c r="BX259" s="30">
        <v>1510020</v>
      </c>
      <c r="BY259" s="30">
        <v>1549020</v>
      </c>
      <c r="BZ259" s="32">
        <v>1451346</v>
      </c>
      <c r="CA259" s="32">
        <v>1414496</v>
      </c>
      <c r="CB259" s="32">
        <v>1429008</v>
      </c>
      <c r="CC259" s="32">
        <v>1375131</v>
      </c>
      <c r="CD259" s="32">
        <v>1337614</v>
      </c>
      <c r="CE259" s="32">
        <v>1251554</v>
      </c>
      <c r="CF259" s="32">
        <v>1169299</v>
      </c>
      <c r="CG259" s="32">
        <v>1192593</v>
      </c>
      <c r="CH259" s="32">
        <v>1125693</v>
      </c>
      <c r="CI259" s="32">
        <v>1118367</v>
      </c>
      <c r="CJ259" s="32">
        <v>980398</v>
      </c>
      <c r="CK259" s="32">
        <v>927004</v>
      </c>
      <c r="CL259" s="32">
        <v>985150</v>
      </c>
      <c r="CM259" s="32">
        <v>912976</v>
      </c>
      <c r="CN259" s="32">
        <v>859444</v>
      </c>
      <c r="CO259" s="32">
        <v>903989</v>
      </c>
      <c r="CP259" s="32">
        <v>886721</v>
      </c>
      <c r="CQ259" s="32">
        <v>820873</v>
      </c>
      <c r="CR259" s="32">
        <v>836735</v>
      </c>
      <c r="CS259" s="32">
        <v>828808</v>
      </c>
      <c r="CT259" s="32">
        <v>793698</v>
      </c>
      <c r="CU259" s="32">
        <v>674737</v>
      </c>
      <c r="CV259" s="32">
        <v>724371</v>
      </c>
    </row>
    <row r="260" spans="69:100" ht="19" customHeight="1" x14ac:dyDescent="0.35">
      <c r="BQ260" s="1" t="str">
        <f t="shared" si="9"/>
        <v>CEMIG | CVA e outros componentes financeiros</v>
      </c>
      <c r="BT260" s="390"/>
      <c r="BV260" s="49" t="s">
        <v>52</v>
      </c>
      <c r="BW260" s="30">
        <v>213753</v>
      </c>
      <c r="BX260" s="30">
        <v>369582</v>
      </c>
      <c r="BY260" s="30">
        <v>195023</v>
      </c>
      <c r="BZ260" s="32">
        <v>114019</v>
      </c>
      <c r="CA260" s="32">
        <v>70394</v>
      </c>
      <c r="CB260" s="32">
        <v>126322</v>
      </c>
      <c r="CC260" s="32">
        <v>46797</v>
      </c>
      <c r="CD260" s="32">
        <v>357377</v>
      </c>
      <c r="CE260" s="32">
        <v>-56556</v>
      </c>
      <c r="CF260" s="32">
        <v>75675</v>
      </c>
      <c r="CG260" s="32">
        <v>-149466</v>
      </c>
      <c r="CH260" s="32">
        <v>80237</v>
      </c>
      <c r="CI260" s="32">
        <v>-164649</v>
      </c>
      <c r="CJ260" s="32">
        <v>20840</v>
      </c>
      <c r="CK260" s="32">
        <v>221133</v>
      </c>
      <c r="CL260" s="32">
        <v>-395653</v>
      </c>
      <c r="CM260" s="32">
        <v>-271933</v>
      </c>
      <c r="CN260" s="32">
        <v>-700107</v>
      </c>
      <c r="CO260" s="32">
        <v>237144</v>
      </c>
      <c r="CP260" s="32">
        <v>1116248</v>
      </c>
      <c r="CQ260" s="32">
        <v>453744</v>
      </c>
      <c r="CR260" s="32">
        <v>338907</v>
      </c>
      <c r="CS260" s="32">
        <v>355897</v>
      </c>
      <c r="CT260" s="32">
        <v>17192</v>
      </c>
      <c r="CU260" s="32">
        <v>136254</v>
      </c>
      <c r="CV260" s="32">
        <v>-54602</v>
      </c>
    </row>
    <row r="261" spans="69:100" ht="19" customHeight="1" x14ac:dyDescent="0.35">
      <c r="BQ261" s="1" t="str">
        <f t="shared" si="9"/>
        <v>CEMIG | Restituição de créditos de PIS/Pasep e Cofins aos consumidores - Realização</v>
      </c>
      <c r="BV261" s="49" t="s">
        <v>53</v>
      </c>
      <c r="BW261" s="30">
        <v>0</v>
      </c>
      <c r="BX261" s="30">
        <v>0</v>
      </c>
      <c r="BY261" s="30">
        <v>0</v>
      </c>
      <c r="BZ261" s="32">
        <v>0</v>
      </c>
      <c r="CA261" s="32">
        <v>0</v>
      </c>
      <c r="CB261" s="32">
        <v>0</v>
      </c>
      <c r="CC261" s="32">
        <v>0</v>
      </c>
      <c r="CD261" s="32">
        <v>0</v>
      </c>
      <c r="CE261" s="32">
        <v>190186</v>
      </c>
      <c r="CF261" s="32">
        <v>322666</v>
      </c>
      <c r="CG261" s="32">
        <v>339403</v>
      </c>
      <c r="CH261" s="32">
        <v>311748</v>
      </c>
      <c r="CI261" s="32">
        <v>561518</v>
      </c>
      <c r="CJ261" s="32">
        <v>695989</v>
      </c>
      <c r="CK261" s="32">
        <v>718478</v>
      </c>
      <c r="CL261" s="32">
        <v>706087</v>
      </c>
      <c r="CM261" s="32">
        <v>498773</v>
      </c>
      <c r="CN261" s="32">
        <v>436718</v>
      </c>
      <c r="CO261" s="32">
        <v>440995</v>
      </c>
      <c r="CP261" s="32">
        <v>445089</v>
      </c>
      <c r="CQ261" s="32">
        <v>252538</v>
      </c>
      <c r="CR261" s="32">
        <v>178373</v>
      </c>
      <c r="CS261" s="32">
        <v>182974</v>
      </c>
      <c r="CT261" s="32">
        <v>83346</v>
      </c>
      <c r="CU261" s="32">
        <v>0</v>
      </c>
      <c r="CV261" s="32">
        <v>0</v>
      </c>
    </row>
    <row r="262" spans="69:100" ht="19" customHeight="1" x14ac:dyDescent="0.35">
      <c r="BQ262" s="1" t="str">
        <f t="shared" si="9"/>
        <v>CEMIG | Receita de transmissão</v>
      </c>
      <c r="BV262" s="389" t="s">
        <v>54</v>
      </c>
      <c r="BW262" s="77">
        <f>IFERROR(SUM(BW263:BW265),0)</f>
        <v>506635</v>
      </c>
      <c r="BX262" s="77">
        <f>IFERROR(SUM(BX263:BX265),0)</f>
        <v>239466</v>
      </c>
      <c r="BY262" s="77">
        <f>IFERROR(SUM(BY263:BY265),0)</f>
        <v>344060</v>
      </c>
      <c r="BZ262" s="77">
        <f t="shared" ref="BZ262:CV262" si="10">IFERROR(SUM(BZ263:BZ265),0)</f>
        <v>289657</v>
      </c>
      <c r="CA262" s="77">
        <f t="shared" si="10"/>
        <v>323743</v>
      </c>
      <c r="CB262" s="77">
        <f t="shared" si="10"/>
        <v>300215</v>
      </c>
      <c r="CC262" s="77">
        <f t="shared" si="10"/>
        <v>343584</v>
      </c>
      <c r="CD262" s="77">
        <f t="shared" si="10"/>
        <v>297498</v>
      </c>
      <c r="CE262" s="77">
        <f t="shared" si="10"/>
        <v>319037</v>
      </c>
      <c r="CF262" s="77">
        <f t="shared" si="10"/>
        <v>281348</v>
      </c>
      <c r="CG262" s="77">
        <f t="shared" si="10"/>
        <v>309978</v>
      </c>
      <c r="CH262" s="77">
        <f t="shared" si="10"/>
        <v>250915</v>
      </c>
      <c r="CI262" s="77">
        <f t="shared" si="10"/>
        <v>273051</v>
      </c>
      <c r="CJ262" s="77">
        <f t="shared" si="10"/>
        <v>304397</v>
      </c>
      <c r="CK262" s="77">
        <f t="shared" si="10"/>
        <v>363218</v>
      </c>
      <c r="CL262" s="77">
        <f t="shared" si="10"/>
        <v>256420</v>
      </c>
      <c r="CM262" s="77">
        <f t="shared" si="10"/>
        <v>431921</v>
      </c>
      <c r="CN262" s="77">
        <f t="shared" si="10"/>
        <v>344127</v>
      </c>
      <c r="CO262" s="77">
        <f t="shared" si="10"/>
        <v>430753</v>
      </c>
      <c r="CP262" s="77">
        <f t="shared" si="10"/>
        <v>313134</v>
      </c>
      <c r="CQ262" s="77">
        <f t="shared" si="10"/>
        <v>254585</v>
      </c>
      <c r="CR262" s="77">
        <f t="shared" si="10"/>
        <v>268868</v>
      </c>
      <c r="CS262" s="77">
        <f t="shared" si="10"/>
        <v>292984</v>
      </c>
      <c r="CT262" s="77">
        <f t="shared" si="10"/>
        <v>269503</v>
      </c>
      <c r="CU262" s="77">
        <f t="shared" si="10"/>
        <v>147202</v>
      </c>
      <c r="CV262" s="77">
        <f t="shared" si="10"/>
        <v>209418</v>
      </c>
    </row>
    <row r="263" spans="69:100" ht="19" customHeight="1" x14ac:dyDescent="0.35">
      <c r="BQ263" s="1" t="str">
        <f t="shared" si="9"/>
        <v>CEMIG | Receita de operação e manutenção</v>
      </c>
      <c r="BT263" s="390"/>
      <c r="BV263" s="142" t="s">
        <v>55</v>
      </c>
      <c r="BW263" s="30">
        <v>103282</v>
      </c>
      <c r="BX263" s="30">
        <v>49336</v>
      </c>
      <c r="BY263" s="30">
        <v>75196</v>
      </c>
      <c r="BZ263" s="32">
        <v>96412</v>
      </c>
      <c r="CA263" s="32">
        <v>114197</v>
      </c>
      <c r="CB263" s="32">
        <v>60439</v>
      </c>
      <c r="CC263" s="32">
        <v>92629</v>
      </c>
      <c r="CD263" s="32">
        <v>144576</v>
      </c>
      <c r="CE263" s="32">
        <v>79716</v>
      </c>
      <c r="CF263" s="32">
        <v>66562</v>
      </c>
      <c r="CG263" s="32">
        <v>93755</v>
      </c>
      <c r="CH263" s="32">
        <v>95828</v>
      </c>
      <c r="CI263" s="32">
        <v>95764</v>
      </c>
      <c r="CJ263" s="32">
        <v>87740</v>
      </c>
      <c r="CK263" s="32">
        <v>97144</v>
      </c>
      <c r="CL263" s="32">
        <v>105628</v>
      </c>
      <c r="CM263" s="32">
        <v>126485</v>
      </c>
      <c r="CN263" s="32">
        <v>83787</v>
      </c>
      <c r="CO263" s="32">
        <v>118573</v>
      </c>
      <c r="CP263" s="32">
        <v>72139</v>
      </c>
      <c r="CQ263" s="32">
        <v>75036</v>
      </c>
      <c r="CR263" s="32">
        <v>89162</v>
      </c>
      <c r="CS263" s="32">
        <v>52088</v>
      </c>
      <c r="CT263" s="32">
        <v>89863</v>
      </c>
      <c r="CU263" s="32">
        <v>60715</v>
      </c>
      <c r="CV263" s="32">
        <v>76597</v>
      </c>
    </row>
    <row r="264" spans="69:100" ht="19" customHeight="1" x14ac:dyDescent="0.35">
      <c r="BQ264" s="1" t="str">
        <f t="shared" si="9"/>
        <v>CEMIG | Receita de construção e melhoria</v>
      </c>
      <c r="BT264" s="390"/>
      <c r="BV264" s="142" t="s">
        <v>56</v>
      </c>
      <c r="BW264" s="30">
        <v>223329</v>
      </c>
      <c r="BX264" s="30">
        <v>151789</v>
      </c>
      <c r="BY264" s="30">
        <v>199730</v>
      </c>
      <c r="BZ264" s="32">
        <v>132210</v>
      </c>
      <c r="CA264" s="32">
        <v>179130</v>
      </c>
      <c r="CB264" s="32">
        <v>66344</v>
      </c>
      <c r="CC264" s="32">
        <v>144472</v>
      </c>
      <c r="CD264" s="32">
        <v>112500</v>
      </c>
      <c r="CE264" s="32">
        <v>104891</v>
      </c>
      <c r="CF264" s="32">
        <v>63394</v>
      </c>
      <c r="CG264" s="32">
        <v>92883</v>
      </c>
      <c r="CH264" s="32">
        <v>39394</v>
      </c>
      <c r="CI264" s="32">
        <v>69802</v>
      </c>
      <c r="CJ264" s="32">
        <v>39403</v>
      </c>
      <c r="CK264" s="32">
        <v>137433</v>
      </c>
      <c r="CL264" s="32">
        <v>100492</v>
      </c>
      <c r="CM264" s="32">
        <v>100873</v>
      </c>
      <c r="CN264" s="32">
        <v>68395</v>
      </c>
      <c r="CO264" s="32">
        <v>114145</v>
      </c>
      <c r="CP264" s="32">
        <v>75695</v>
      </c>
      <c r="CQ264" s="32">
        <v>39682</v>
      </c>
      <c r="CR264" s="32">
        <v>22451</v>
      </c>
      <c r="CS264" s="32">
        <v>34032</v>
      </c>
      <c r="CT264" s="32">
        <v>63363</v>
      </c>
      <c r="CU264" s="32">
        <v>42815</v>
      </c>
      <c r="CV264" s="32">
        <v>61241</v>
      </c>
    </row>
    <row r="265" spans="69:100" ht="19" customHeight="1" x14ac:dyDescent="0.35">
      <c r="BQ265" s="1" t="str">
        <f t="shared" si="9"/>
        <v>CEMIG | Remuneração financeira do ativo de contrato da transmissão</v>
      </c>
      <c r="BT265" s="390"/>
      <c r="BV265" s="142" t="s">
        <v>57</v>
      </c>
      <c r="BW265" s="30">
        <v>180024</v>
      </c>
      <c r="BX265" s="30">
        <v>38341</v>
      </c>
      <c r="BY265" s="30">
        <v>69134</v>
      </c>
      <c r="BZ265" s="32">
        <v>61035</v>
      </c>
      <c r="CA265" s="32">
        <v>30416</v>
      </c>
      <c r="CB265" s="32">
        <v>173432</v>
      </c>
      <c r="CC265" s="32">
        <v>106483</v>
      </c>
      <c r="CD265" s="32">
        <v>40422</v>
      </c>
      <c r="CE265" s="32">
        <v>134430</v>
      </c>
      <c r="CF265" s="32">
        <v>151392</v>
      </c>
      <c r="CG265" s="32">
        <v>123340</v>
      </c>
      <c r="CH265" s="32">
        <v>115693</v>
      </c>
      <c r="CI265" s="32">
        <v>107485</v>
      </c>
      <c r="CJ265" s="32">
        <v>177254</v>
      </c>
      <c r="CK265" s="32">
        <v>128641</v>
      </c>
      <c r="CL265" s="32">
        <v>50300</v>
      </c>
      <c r="CM265" s="32">
        <v>204563</v>
      </c>
      <c r="CN265" s="32">
        <v>191945</v>
      </c>
      <c r="CO265" s="32">
        <v>198035</v>
      </c>
      <c r="CP265" s="32">
        <v>165300</v>
      </c>
      <c r="CQ265" s="32">
        <v>139867</v>
      </c>
      <c r="CR265" s="32">
        <v>157255</v>
      </c>
      <c r="CS265" s="32">
        <v>206864</v>
      </c>
      <c r="CT265" s="32">
        <v>116277</v>
      </c>
      <c r="CU265" s="32">
        <v>43672</v>
      </c>
      <c r="CV265" s="32">
        <v>71580</v>
      </c>
    </row>
    <row r="266" spans="69:100" ht="19" customHeight="1" x14ac:dyDescent="0.35">
      <c r="BQ266" s="1" t="str">
        <f t="shared" si="9"/>
        <v>CEMIG | Receita de indenização da geração</v>
      </c>
      <c r="BT266" s="390"/>
      <c r="BV266" s="49" t="s">
        <v>58</v>
      </c>
      <c r="BW266" s="30">
        <v>35805</v>
      </c>
      <c r="BX266" s="30">
        <v>35146</v>
      </c>
      <c r="BY266" s="30">
        <v>34767</v>
      </c>
      <c r="BZ266" s="32">
        <v>33555</v>
      </c>
      <c r="CA266" s="32">
        <v>31201</v>
      </c>
      <c r="CB266" s="32">
        <v>26928</v>
      </c>
      <c r="CC266" s="32">
        <v>23232</v>
      </c>
      <c r="CD266" s="32">
        <v>21218</v>
      </c>
      <c r="CE266" s="32">
        <v>20596</v>
      </c>
      <c r="CF266" s="32">
        <v>21434</v>
      </c>
      <c r="CG266" s="32">
        <v>22783</v>
      </c>
      <c r="CH266" s="32">
        <v>23867</v>
      </c>
      <c r="CI266" s="32">
        <v>23469</v>
      </c>
      <c r="CJ266" s="32">
        <v>22476</v>
      </c>
      <c r="CK266" s="32">
        <v>22245</v>
      </c>
      <c r="CL266" s="32">
        <v>24783</v>
      </c>
      <c r="CM266" s="32">
        <v>0</v>
      </c>
      <c r="CN266" s="32">
        <v>0</v>
      </c>
      <c r="CO266" s="32">
        <v>0</v>
      </c>
      <c r="CP266" s="32">
        <v>0</v>
      </c>
      <c r="CQ266" s="32">
        <v>0</v>
      </c>
      <c r="CR266" s="32">
        <v>0</v>
      </c>
      <c r="CS266" s="32">
        <v>0</v>
      </c>
      <c r="CT266" s="32">
        <v>0</v>
      </c>
      <c r="CU266" s="32">
        <v>0</v>
      </c>
      <c r="CV266" s="32">
        <v>0</v>
      </c>
    </row>
    <row r="267" spans="69:100" ht="19" customHeight="1" x14ac:dyDescent="0.35">
      <c r="BQ267" s="1" t="str">
        <f t="shared" si="9"/>
        <v>CEMIG | Receita de construção de distribuição</v>
      </c>
      <c r="BT267" s="390"/>
      <c r="BV267" s="49" t="s">
        <v>59</v>
      </c>
      <c r="BW267" s="30">
        <v>1587229</v>
      </c>
      <c r="BX267" s="30">
        <v>1376970</v>
      </c>
      <c r="BY267" s="30">
        <v>1677282</v>
      </c>
      <c r="BZ267" s="32">
        <v>1506855</v>
      </c>
      <c r="CA267" s="32">
        <v>1324446</v>
      </c>
      <c r="CB267" s="32">
        <v>1148545</v>
      </c>
      <c r="CC267" s="32">
        <v>1402318</v>
      </c>
      <c r="CD267" s="32">
        <v>1262146</v>
      </c>
      <c r="CE267" s="32">
        <v>1154213</v>
      </c>
      <c r="CF267" s="32">
        <v>893427</v>
      </c>
      <c r="CG267" s="32">
        <v>1141888</v>
      </c>
      <c r="CH267" s="32">
        <v>1165087</v>
      </c>
      <c r="CI267" s="32">
        <v>915822</v>
      </c>
      <c r="CJ267" s="32">
        <v>676448</v>
      </c>
      <c r="CK267" s="32">
        <v>1045850</v>
      </c>
      <c r="CL267" s="32">
        <v>1063302</v>
      </c>
      <c r="CM267" s="32">
        <v>695971</v>
      </c>
      <c r="CN267" s="32">
        <v>440565</v>
      </c>
      <c r="CO267" s="32">
        <v>615894</v>
      </c>
      <c r="CP267" s="32">
        <v>497932</v>
      </c>
      <c r="CQ267" s="32">
        <v>409128</v>
      </c>
      <c r="CR267" s="32">
        <v>329309</v>
      </c>
      <c r="CS267" s="32">
        <v>427896</v>
      </c>
      <c r="CT267" s="32">
        <v>397295</v>
      </c>
      <c r="CU267" s="32">
        <v>346559</v>
      </c>
      <c r="CV267" s="32">
        <v>263073</v>
      </c>
    </row>
    <row r="268" spans="69:100" ht="19" customHeight="1" x14ac:dyDescent="0.35">
      <c r="BQ268" s="1" t="str">
        <f t="shared" si="9"/>
        <v>CEMIG | Ajuste de expectativa do fluxo de caixa do ativo financeiro indenizável da concessão de distribuição</v>
      </c>
      <c r="BT268" s="390"/>
      <c r="BV268" s="49" t="s">
        <v>60</v>
      </c>
      <c r="BW268" s="30">
        <v>79686</v>
      </c>
      <c r="BX268" s="30">
        <v>65278</v>
      </c>
      <c r="BY268" s="30">
        <v>15929</v>
      </c>
      <c r="BZ268" s="32">
        <v>21411</v>
      </c>
      <c r="CA268" s="32">
        <v>26618</v>
      </c>
      <c r="CB268" s="32">
        <v>53203</v>
      </c>
      <c r="CC268" s="32">
        <v>34754</v>
      </c>
      <c r="CD268" s="32">
        <v>16454</v>
      </c>
      <c r="CE268" s="32">
        <v>22258</v>
      </c>
      <c r="CF268" s="32">
        <v>30951</v>
      </c>
      <c r="CG268" s="32">
        <v>22086</v>
      </c>
      <c r="CH268" s="32">
        <v>49577</v>
      </c>
      <c r="CI268" s="32">
        <v>46731</v>
      </c>
      <c r="CJ268" s="32">
        <v>30844</v>
      </c>
      <c r="CK268" s="32">
        <v>10968</v>
      </c>
      <c r="CL268" s="32">
        <v>-10361</v>
      </c>
      <c r="CM268" s="32">
        <v>19030</v>
      </c>
      <c r="CN268" s="32">
        <v>19732</v>
      </c>
      <c r="CO268" s="32">
        <v>15792</v>
      </c>
      <c r="CP268" s="32">
        <v>17933</v>
      </c>
      <c r="CQ268" s="32">
        <v>9120</v>
      </c>
      <c r="CR268" s="32">
        <v>10906</v>
      </c>
      <c r="CS268" s="32">
        <v>17116</v>
      </c>
      <c r="CT268" s="32">
        <v>-697</v>
      </c>
      <c r="CU268" s="32">
        <v>-1679</v>
      </c>
      <c r="CV268" s="32">
        <v>724</v>
      </c>
    </row>
    <row r="269" spans="69:100" ht="19" customHeight="1" x14ac:dyDescent="0.35">
      <c r="BQ269" s="1" t="str">
        <f t="shared" si="9"/>
        <v>CEMIG | Receita de atualização financeira da bonificação pela outorga</v>
      </c>
      <c r="BT269" s="390"/>
      <c r="BV269" s="49" t="s">
        <v>61</v>
      </c>
      <c r="BW269" s="30">
        <v>147979</v>
      </c>
      <c r="BX269" s="30">
        <v>120632</v>
      </c>
      <c r="BY269" s="30">
        <v>101989</v>
      </c>
      <c r="BZ269" s="32">
        <v>92056</v>
      </c>
      <c r="CA269" s="32">
        <v>118859</v>
      </c>
      <c r="CB269" s="32">
        <v>138457</v>
      </c>
      <c r="CC269" s="32">
        <v>117770</v>
      </c>
      <c r="CD269" s="32">
        <v>93691</v>
      </c>
      <c r="CE269" s="32">
        <v>107011</v>
      </c>
      <c r="CF269" s="32">
        <v>128625</v>
      </c>
      <c r="CG269" s="32">
        <v>97046</v>
      </c>
      <c r="CH269" s="32">
        <v>85073</v>
      </c>
      <c r="CI269" s="32">
        <v>94837</v>
      </c>
      <c r="CJ269" s="32">
        <v>134766</v>
      </c>
      <c r="CK269" s="32">
        <v>114272</v>
      </c>
      <c r="CL269" s="32">
        <v>59722</v>
      </c>
      <c r="CM269" s="32">
        <v>161268</v>
      </c>
      <c r="CN269" s="32">
        <v>131595</v>
      </c>
      <c r="CO269" s="32">
        <v>154263</v>
      </c>
      <c r="CP269" s="32">
        <v>125438</v>
      </c>
      <c r="CQ269" s="32">
        <v>118844</v>
      </c>
      <c r="CR269" s="32">
        <v>124560</v>
      </c>
      <c r="CS269" s="32">
        <v>118764</v>
      </c>
      <c r="CT269" s="32">
        <v>81881</v>
      </c>
      <c r="CU269" s="32">
        <v>46520</v>
      </c>
      <c r="CV269" s="32">
        <v>99892</v>
      </c>
    </row>
    <row r="270" spans="69:100" ht="19" customHeight="1" x14ac:dyDescent="0.35">
      <c r="BQ270" s="1" t="str">
        <f t="shared" si="9"/>
        <v>CEMIG | Liquidação na CCEE</v>
      </c>
      <c r="BT270" s="390"/>
      <c r="BV270" s="49" t="s">
        <v>62</v>
      </c>
      <c r="BW270" s="30">
        <v>65442</v>
      </c>
      <c r="BX270" s="30">
        <v>19832</v>
      </c>
      <c r="BY270" s="30">
        <v>170757</v>
      </c>
      <c r="BZ270" s="32">
        <v>36108</v>
      </c>
      <c r="CA270" s="32">
        <v>39585</v>
      </c>
      <c r="CB270" s="32">
        <v>21923</v>
      </c>
      <c r="CC270" s="32">
        <v>10078</v>
      </c>
      <c r="CD270" s="32">
        <v>26651</v>
      </c>
      <c r="CE270" s="32">
        <v>14380</v>
      </c>
      <c r="CF270" s="32">
        <v>40757</v>
      </c>
      <c r="CG270" s="32">
        <v>65949</v>
      </c>
      <c r="CH270" s="32">
        <v>36195</v>
      </c>
      <c r="CI270" s="32">
        <v>14002</v>
      </c>
      <c r="CJ270" s="32">
        <v>29363</v>
      </c>
      <c r="CK270" s="32">
        <v>49784</v>
      </c>
      <c r="CL270" s="32">
        <v>134890</v>
      </c>
      <c r="CM270" s="32">
        <v>16889</v>
      </c>
      <c r="CN270" s="32">
        <v>-18670</v>
      </c>
      <c r="CO270" s="32">
        <v>622913</v>
      </c>
      <c r="CP270" s="32">
        <v>425502</v>
      </c>
      <c r="CQ270" s="32">
        <v>1043</v>
      </c>
      <c r="CR270" s="32">
        <v>107045</v>
      </c>
      <c r="CS270" s="32">
        <v>-239</v>
      </c>
      <c r="CT270" s="32">
        <v>59103</v>
      </c>
      <c r="CU270" s="32">
        <v>7074</v>
      </c>
      <c r="CV270" s="32">
        <v>87824</v>
      </c>
    </row>
    <row r="271" spans="69:100" ht="19" customHeight="1" x14ac:dyDescent="0.35">
      <c r="BQ271" s="1" t="str">
        <f t="shared" si="9"/>
        <v>CEMIG | Transações no mecanismo de venda de excedentes - MVE</v>
      </c>
      <c r="BV271" s="49" t="s">
        <v>63</v>
      </c>
      <c r="BW271" s="30">
        <v>0</v>
      </c>
      <c r="BX271" s="30">
        <v>0</v>
      </c>
      <c r="BY271" s="30">
        <v>0</v>
      </c>
      <c r="BZ271" s="32">
        <v>0</v>
      </c>
      <c r="CA271" s="32">
        <v>0</v>
      </c>
      <c r="CB271" s="32">
        <v>0</v>
      </c>
      <c r="CC271" s="32">
        <v>0</v>
      </c>
      <c r="CD271" s="32">
        <v>0</v>
      </c>
      <c r="CE271" s="32">
        <v>0</v>
      </c>
      <c r="CF271" s="32">
        <v>0</v>
      </c>
      <c r="CG271" s="32">
        <v>0</v>
      </c>
      <c r="CH271" s="32">
        <v>0</v>
      </c>
      <c r="CI271" s="32">
        <v>0</v>
      </c>
      <c r="CJ271" s="32">
        <v>-3766</v>
      </c>
      <c r="CK271" s="32">
        <v>121819</v>
      </c>
      <c r="CL271" s="32">
        <v>125463</v>
      </c>
      <c r="CM271" s="32">
        <v>66855</v>
      </c>
      <c r="CN271" s="32">
        <v>138994</v>
      </c>
      <c r="CO271" s="32">
        <v>226647</v>
      </c>
      <c r="CP271" s="32">
        <v>226249</v>
      </c>
      <c r="CQ271" s="32">
        <v>0</v>
      </c>
      <c r="CR271" s="32">
        <v>0</v>
      </c>
      <c r="CS271" s="32">
        <v>145143</v>
      </c>
      <c r="CT271" s="32">
        <v>47690</v>
      </c>
      <c r="CU271" s="32">
        <v>41514</v>
      </c>
      <c r="CV271" s="32">
        <v>0</v>
      </c>
    </row>
    <row r="272" spans="69:100" ht="19" customHeight="1" x14ac:dyDescent="0.35">
      <c r="BQ272" s="1" t="str">
        <f t="shared" si="9"/>
        <v>CEMIG | Fornecimento de gás</v>
      </c>
      <c r="BT272" s="390"/>
      <c r="BV272" s="49" t="s">
        <v>64</v>
      </c>
      <c r="BW272" s="30">
        <v>563336</v>
      </c>
      <c r="BX272" s="30">
        <v>556413</v>
      </c>
      <c r="BY272" s="30">
        <v>581286</v>
      </c>
      <c r="BZ272" s="32">
        <v>613994</v>
      </c>
      <c r="CA272" s="32">
        <v>965491</v>
      </c>
      <c r="CB272" s="32">
        <v>920783</v>
      </c>
      <c r="CC272" s="32">
        <v>988396</v>
      </c>
      <c r="CD272" s="32">
        <v>1038057</v>
      </c>
      <c r="CE272" s="32">
        <v>972424</v>
      </c>
      <c r="CF272" s="32">
        <v>919648</v>
      </c>
      <c r="CG272" s="32">
        <v>952998</v>
      </c>
      <c r="CH272" s="32">
        <v>989284</v>
      </c>
      <c r="CI272" s="32">
        <v>1073563</v>
      </c>
      <c r="CJ272" s="32">
        <v>1123570</v>
      </c>
      <c r="CK272" s="32">
        <v>1241541</v>
      </c>
      <c r="CL272" s="32">
        <v>1218147</v>
      </c>
      <c r="CM272" s="32">
        <v>1113427</v>
      </c>
      <c r="CN272" s="32">
        <v>956008</v>
      </c>
      <c r="CO272" s="32">
        <v>978097</v>
      </c>
      <c r="CP272" s="32">
        <v>948680</v>
      </c>
      <c r="CQ272" s="32">
        <v>838444</v>
      </c>
      <c r="CR272" s="32">
        <v>705185</v>
      </c>
      <c r="CS272" s="32">
        <v>620257</v>
      </c>
      <c r="CT272" s="32">
        <v>427940</v>
      </c>
      <c r="CU272" s="32">
        <v>403227</v>
      </c>
      <c r="CV272" s="32">
        <v>559660</v>
      </c>
    </row>
    <row r="273" spans="69:100" ht="19" customHeight="1" x14ac:dyDescent="0.35">
      <c r="BQ273" s="1" t="str">
        <f t="shared" si="9"/>
        <v>CEMIG | Compensação por violação de padrão indicador de continuidade</v>
      </c>
      <c r="BT273" s="390"/>
      <c r="BV273" s="49" t="s">
        <v>65</v>
      </c>
      <c r="BW273" s="30">
        <v>-39694</v>
      </c>
      <c r="BX273" s="30">
        <v>-48017</v>
      </c>
      <c r="BY273" s="30">
        <v>-35447</v>
      </c>
      <c r="BZ273" s="32">
        <v>-32537</v>
      </c>
      <c r="CA273" s="32">
        <v>-39949</v>
      </c>
      <c r="CB273" s="32">
        <v>-46812</v>
      </c>
      <c r="CC273" s="32">
        <v>-45311</v>
      </c>
      <c r="CD273" s="32">
        <v>-29163</v>
      </c>
      <c r="CE273" s="32">
        <v>-37084</v>
      </c>
      <c r="CF273" s="32">
        <v>-45927</v>
      </c>
      <c r="CG273" s="32">
        <v>-46066</v>
      </c>
      <c r="CH273" s="32">
        <v>-21480</v>
      </c>
      <c r="CI273" s="32">
        <v>-32910</v>
      </c>
      <c r="CJ273" s="32">
        <v>-38469</v>
      </c>
      <c r="CK273" s="32">
        <v>-29168</v>
      </c>
      <c r="CL273" s="32">
        <v>-13668</v>
      </c>
      <c r="CM273" s="32">
        <v>-19305</v>
      </c>
      <c r="CN273" s="32">
        <v>-31894</v>
      </c>
      <c r="CO273" s="32">
        <v>-18590</v>
      </c>
      <c r="CP273" s="32">
        <v>-7454</v>
      </c>
      <c r="CQ273" s="32">
        <v>-14335</v>
      </c>
      <c r="CR273" s="32">
        <v>-30569</v>
      </c>
      <c r="CS273" s="32">
        <v>-17085</v>
      </c>
      <c r="CT273" s="32">
        <v>-4330</v>
      </c>
      <c r="CU273" s="32">
        <v>-11918</v>
      </c>
      <c r="CV273" s="32">
        <v>-17199</v>
      </c>
    </row>
    <row r="274" spans="69:100" ht="19" customHeight="1" x14ac:dyDescent="0.35">
      <c r="BQ274" s="1" t="str">
        <f t="shared" si="9"/>
        <v>CEMIG | Receita por antecipação de prestação de serviço</v>
      </c>
      <c r="BV274" s="49" t="s">
        <v>66</v>
      </c>
      <c r="BW274" s="30">
        <v>0</v>
      </c>
      <c r="BX274" s="30">
        <v>0</v>
      </c>
      <c r="BY274" s="30">
        <v>0</v>
      </c>
      <c r="BZ274" s="32">
        <v>0</v>
      </c>
      <c r="CA274" s="32">
        <v>0</v>
      </c>
      <c r="CB274" s="32">
        <v>0</v>
      </c>
      <c r="CC274" s="32">
        <v>0</v>
      </c>
      <c r="CD274" s="32">
        <v>0</v>
      </c>
      <c r="CE274" s="32">
        <v>0</v>
      </c>
      <c r="CF274" s="32">
        <v>0</v>
      </c>
      <c r="CG274" s="32">
        <v>0</v>
      </c>
      <c r="CH274" s="32">
        <v>0</v>
      </c>
      <c r="CI274" s="32">
        <v>0</v>
      </c>
      <c r="CJ274" s="32">
        <v>0</v>
      </c>
      <c r="CK274" s="32">
        <v>0</v>
      </c>
      <c r="CL274" s="32">
        <v>0</v>
      </c>
      <c r="CM274" s="32">
        <v>0</v>
      </c>
      <c r="CN274" s="32">
        <v>0</v>
      </c>
      <c r="CO274" s="32">
        <v>0</v>
      </c>
      <c r="CP274" s="32">
        <v>0</v>
      </c>
      <c r="CQ274" s="32">
        <v>153970</v>
      </c>
      <c r="CR274" s="32">
        <v>0</v>
      </c>
      <c r="CS274" s="32">
        <v>0</v>
      </c>
      <c r="CT274" s="32">
        <v>0</v>
      </c>
      <c r="CU274" s="32">
        <v>0</v>
      </c>
      <c r="CV274" s="32">
        <v>0</v>
      </c>
    </row>
    <row r="275" spans="69:100" ht="19" customHeight="1" x14ac:dyDescent="0.35">
      <c r="BQ275" s="1" t="str">
        <f t="shared" si="9"/>
        <v>CEMIG | Créditos de PIS/Pasep e Cofins a restituir a consumidores</v>
      </c>
      <c r="BV275" s="49" t="s">
        <v>67</v>
      </c>
      <c r="BW275" s="30">
        <v>0</v>
      </c>
      <c r="BX275" s="30">
        <v>0</v>
      </c>
      <c r="BY275" s="30">
        <v>0</v>
      </c>
      <c r="BZ275" s="32">
        <v>0</v>
      </c>
      <c r="CA275" s="32">
        <v>0</v>
      </c>
      <c r="CB275" s="32">
        <v>0</v>
      </c>
      <c r="CC275" s="32">
        <v>0</v>
      </c>
      <c r="CD275" s="32">
        <v>0</v>
      </c>
      <c r="CE275" s="32">
        <v>0</v>
      </c>
      <c r="CF275" s="32">
        <v>0</v>
      </c>
      <c r="CG275" s="32">
        <v>0</v>
      </c>
      <c r="CH275" s="32">
        <v>0</v>
      </c>
      <c r="CI275" s="32">
        <v>0</v>
      </c>
      <c r="CJ275" s="32">
        <v>0</v>
      </c>
      <c r="CK275" s="32">
        <v>-829783</v>
      </c>
      <c r="CL275" s="32">
        <v>0</v>
      </c>
      <c r="CM275" s="32">
        <v>0</v>
      </c>
      <c r="CN275" s="32">
        <v>0</v>
      </c>
      <c r="CO275" s="32">
        <v>0</v>
      </c>
      <c r="CP275" s="32">
        <v>0</v>
      </c>
      <c r="CQ275" s="32">
        <v>0</v>
      </c>
      <c r="CR275" s="32">
        <v>0</v>
      </c>
      <c r="CS275" s="32">
        <v>0</v>
      </c>
      <c r="CT275" s="32">
        <v>0</v>
      </c>
      <c r="CU275" s="32">
        <v>0</v>
      </c>
      <c r="CV275" s="32">
        <v>0</v>
      </c>
    </row>
    <row r="276" spans="69:100" ht="19" customHeight="1" x14ac:dyDescent="0.35">
      <c r="BQ276" s="1" t="str">
        <f t="shared" si="9"/>
        <v>CEMIG | Outras receitas</v>
      </c>
      <c r="BT276" s="390"/>
      <c r="BV276" s="49" t="s">
        <v>68</v>
      </c>
      <c r="BW276" s="30">
        <v>1109677</v>
      </c>
      <c r="BX276" s="30">
        <v>1030792</v>
      </c>
      <c r="BY276" s="30">
        <v>1193921</v>
      </c>
      <c r="BZ276" s="32">
        <v>1240890</v>
      </c>
      <c r="CA276" s="32">
        <v>1315539</v>
      </c>
      <c r="CB276" s="32">
        <v>722019</v>
      </c>
      <c r="CC276" s="32">
        <v>843978</v>
      </c>
      <c r="CD276" s="32">
        <v>662540</v>
      </c>
      <c r="CE276" s="32">
        <v>761856</v>
      </c>
      <c r="CF276" s="32">
        <v>636954</v>
      </c>
      <c r="CG276" s="32">
        <v>634041</v>
      </c>
      <c r="CH276" s="32">
        <v>590628</v>
      </c>
      <c r="CI276" s="32">
        <v>599075</v>
      </c>
      <c r="CJ276" s="32">
        <v>492015</v>
      </c>
      <c r="CK276" s="32">
        <v>498799</v>
      </c>
      <c r="CL276" s="32">
        <v>873241</v>
      </c>
      <c r="CM276" s="32">
        <v>783716</v>
      </c>
      <c r="CN276" s="32">
        <v>501358</v>
      </c>
      <c r="CO276" s="32">
        <v>652396</v>
      </c>
      <c r="CP276" s="32">
        <v>433111</v>
      </c>
      <c r="CQ276" s="32">
        <v>436904</v>
      </c>
      <c r="CR276" s="32">
        <v>412862</v>
      </c>
      <c r="CS276" s="32">
        <v>408413</v>
      </c>
      <c r="CT276" s="32">
        <v>414461</v>
      </c>
      <c r="CU276" s="32">
        <v>473143</v>
      </c>
      <c r="CV276" s="32">
        <v>413469</v>
      </c>
    </row>
    <row r="277" spans="69:100" ht="19" customHeight="1" x14ac:dyDescent="0.35">
      <c r="BQ277" s="1" t="str">
        <f t="shared" si="9"/>
        <v>CEMIG | Tributos e encargos incidentes sobre a receita</v>
      </c>
      <c r="BT277" s="390"/>
      <c r="BV277" s="49" t="s">
        <v>69</v>
      </c>
      <c r="BW277" s="30">
        <v>-3803221</v>
      </c>
      <c r="BX277" s="30">
        <v>-3808707</v>
      </c>
      <c r="BY277" s="30">
        <v>-4089520</v>
      </c>
      <c r="BZ277" s="32">
        <v>-3826912</v>
      </c>
      <c r="CA277" s="32">
        <v>-3490507</v>
      </c>
      <c r="CB277" s="32">
        <v>-3370772</v>
      </c>
      <c r="CC277" s="32">
        <v>-3585759</v>
      </c>
      <c r="CD277" s="32">
        <v>-3491294</v>
      </c>
      <c r="CE277" s="32">
        <v>-3427961</v>
      </c>
      <c r="CF277" s="32">
        <v>-3436134</v>
      </c>
      <c r="CG277" s="32">
        <v>-3544009</v>
      </c>
      <c r="CH277" s="32">
        <v>-3390215</v>
      </c>
      <c r="CI277" s="32">
        <v>-3231998</v>
      </c>
      <c r="CJ277" s="32">
        <v>-2917278</v>
      </c>
      <c r="CK277" s="32">
        <v>-2201489</v>
      </c>
      <c r="CL277" s="32">
        <v>-2909994</v>
      </c>
      <c r="CM277" s="32">
        <v>-4040760</v>
      </c>
      <c r="CN277" s="32">
        <v>-3534478</v>
      </c>
      <c r="CO277" s="32">
        <v>-3693037</v>
      </c>
      <c r="CP277" s="32">
        <v>-3644128</v>
      </c>
      <c r="CQ277" s="32">
        <v>-3218609</v>
      </c>
      <c r="CR277" s="32">
        <v>-3123277</v>
      </c>
      <c r="CS277" s="32">
        <v>-3168305</v>
      </c>
      <c r="CT277" s="32">
        <v>-2858810</v>
      </c>
      <c r="CU277" s="32">
        <v>-2682530</v>
      </c>
      <c r="CV277" s="32">
        <v>-3012084</v>
      </c>
    </row>
    <row r="278" spans="69:100" ht="25" customHeight="1" x14ac:dyDescent="0.35">
      <c r="BV278" s="4" t="s">
        <v>7</v>
      </c>
      <c r="BW278" s="31">
        <f t="shared" ref="BW278:CV278" si="11">SUM(BW279:BW298,BW306)</f>
        <v>-9418375</v>
      </c>
      <c r="BX278" s="31">
        <f t="shared" si="11"/>
        <v>-9127513</v>
      </c>
      <c r="BY278" s="31">
        <f t="shared" si="11"/>
        <v>-9018433</v>
      </c>
      <c r="BZ278" s="31">
        <f t="shared" si="11"/>
        <v>-9537858</v>
      </c>
      <c r="CA278" s="31">
        <f t="shared" si="11"/>
        <v>-9173036</v>
      </c>
      <c r="CB278" s="31">
        <f t="shared" si="11"/>
        <v>-8422952</v>
      </c>
      <c r="CC278" s="31">
        <f t="shared" si="11"/>
        <v>-9659452</v>
      </c>
      <c r="CD278" s="31">
        <f t="shared" si="11"/>
        <v>-5598376</v>
      </c>
      <c r="CE278" s="31">
        <f t="shared" si="11"/>
        <v>-7441898</v>
      </c>
      <c r="CF278" s="31">
        <f t="shared" si="11"/>
        <v>-7465676</v>
      </c>
      <c r="CG278" s="31">
        <f t="shared" si="11"/>
        <v>-7995287</v>
      </c>
      <c r="CH278" s="31">
        <f t="shared" si="11"/>
        <v>-7803049</v>
      </c>
      <c r="CI278" s="31">
        <f t="shared" si="11"/>
        <v>-7313127</v>
      </c>
      <c r="CJ278" s="31">
        <f t="shared" si="11"/>
        <v>-6940673</v>
      </c>
      <c r="CK278" s="31">
        <f t="shared" si="11"/>
        <v>-6765858</v>
      </c>
      <c r="CL278" s="31">
        <f t="shared" si="11"/>
        <v>-7969170</v>
      </c>
      <c r="CM278" s="31">
        <f t="shared" si="11"/>
        <v>-8484174</v>
      </c>
      <c r="CN278" s="31">
        <f t="shared" si="11"/>
        <v>-6398972</v>
      </c>
      <c r="CO278" s="31">
        <f t="shared" si="11"/>
        <v>-8030867</v>
      </c>
      <c r="CP278" s="31">
        <f t="shared" si="11"/>
        <v>-8185309</v>
      </c>
      <c r="CQ278" s="31">
        <f t="shared" si="11"/>
        <v>-5038317</v>
      </c>
      <c r="CR278" s="31">
        <f t="shared" si="11"/>
        <v>-5622530</v>
      </c>
      <c r="CS278" s="31">
        <f t="shared" si="11"/>
        <v>-6051004</v>
      </c>
      <c r="CT278" s="31">
        <f t="shared" si="11"/>
        <v>-5289166</v>
      </c>
      <c r="CU278" s="31">
        <f t="shared" si="11"/>
        <v>-3962300</v>
      </c>
      <c r="CV278" s="31">
        <f t="shared" si="11"/>
        <v>-5575557</v>
      </c>
    </row>
    <row r="279" spans="69:100" ht="19" customHeight="1" x14ac:dyDescent="0.35">
      <c r="BQ279" s="1" t="str">
        <f>_xlfn.CONCAT($BV$254," | ",BV279)</f>
        <v>CEMIG | Energia elétrica comprada para revenda</v>
      </c>
      <c r="BV279" s="36" t="s">
        <v>70</v>
      </c>
      <c r="BW279" s="30">
        <v>-4785257</v>
      </c>
      <c r="BX279" s="30">
        <v>-4915028</v>
      </c>
      <c r="BY279" s="30">
        <v>-5200988</v>
      </c>
      <c r="BZ279" s="32">
        <v>-5163067</v>
      </c>
      <c r="CA279" s="32">
        <v>-4547303</v>
      </c>
      <c r="CB279" s="32">
        <v>-4266626</v>
      </c>
      <c r="CC279" s="32">
        <v>-4922913</v>
      </c>
      <c r="CD279" s="32">
        <v>-4567101</v>
      </c>
      <c r="CE279" s="32">
        <v>-3693227</v>
      </c>
      <c r="CF279" s="32">
        <v>-3510632</v>
      </c>
      <c r="CG279" s="32">
        <v>-3957150</v>
      </c>
      <c r="CH279" s="32">
        <v>-3778480</v>
      </c>
      <c r="CI279" s="32">
        <v>-3468393</v>
      </c>
      <c r="CJ279" s="32">
        <v>-3444067</v>
      </c>
      <c r="CK279" s="32">
        <v>-3938967</v>
      </c>
      <c r="CL279" s="32">
        <v>-4125675</v>
      </c>
      <c r="CM279" s="32">
        <v>-3445961</v>
      </c>
      <c r="CN279" s="32">
        <v>-3103382</v>
      </c>
      <c r="CO279" s="32">
        <v>-4381601</v>
      </c>
      <c r="CP279" s="32">
        <v>-5302305</v>
      </c>
      <c r="CQ279" s="32">
        <v>-3309234</v>
      </c>
      <c r="CR279" s="32">
        <v>-3108114</v>
      </c>
      <c r="CS279" s="32">
        <v>-3583077</v>
      </c>
      <c r="CT279" s="32">
        <v>-2958679</v>
      </c>
      <c r="CU279" s="32">
        <v>-2755238</v>
      </c>
      <c r="CV279" s="32">
        <v>-2814495</v>
      </c>
    </row>
    <row r="280" spans="69:100" ht="19" customHeight="1" x14ac:dyDescent="0.35">
      <c r="BQ280" s="1" t="str">
        <f t="shared" ref="BQ280:BQ307" si="12">_xlfn.CONCAT($BV$254," | ",BV280)</f>
        <v>CEMIG | Encargos de uso da rede básica</v>
      </c>
      <c r="BV280" s="36" t="s">
        <v>71</v>
      </c>
      <c r="BW280" s="30">
        <v>-830506</v>
      </c>
      <c r="BX280" s="30">
        <v>-718658</v>
      </c>
      <c r="BY280" s="30">
        <v>-750628</v>
      </c>
      <c r="BZ280" s="32">
        <v>-766046</v>
      </c>
      <c r="CA280" s="32">
        <v>-776715</v>
      </c>
      <c r="CB280" s="32">
        <v>-767266</v>
      </c>
      <c r="CC280" s="32">
        <v>-691644</v>
      </c>
      <c r="CD280" s="32">
        <v>-804946</v>
      </c>
      <c r="CE280" s="32">
        <v>-817136</v>
      </c>
      <c r="CF280" s="32">
        <v>-843222</v>
      </c>
      <c r="CG280" s="32">
        <v>-762268</v>
      </c>
      <c r="CH280" s="32">
        <v>-769491</v>
      </c>
      <c r="CI280" s="32">
        <v>-704850</v>
      </c>
      <c r="CJ280" s="32">
        <v>-700181</v>
      </c>
      <c r="CK280" s="32">
        <v>-653569</v>
      </c>
      <c r="CL280" s="32">
        <v>-588444</v>
      </c>
      <c r="CM280" s="32">
        <v>-560170</v>
      </c>
      <c r="CN280" s="32">
        <v>-868532</v>
      </c>
      <c r="CO280" s="32">
        <v>-1235224</v>
      </c>
      <c r="CP280" s="32">
        <v>-653534</v>
      </c>
      <c r="CQ280" s="32">
        <v>-701915</v>
      </c>
      <c r="CR280" s="32">
        <v>-746312</v>
      </c>
      <c r="CS280" s="32">
        <v>-590570</v>
      </c>
      <c r="CT280" s="32">
        <v>-534788</v>
      </c>
      <c r="CU280" s="32">
        <v>-257441</v>
      </c>
      <c r="CV280" s="32">
        <v>-365012</v>
      </c>
    </row>
    <row r="281" spans="69:100" ht="19" customHeight="1" x14ac:dyDescent="0.35">
      <c r="BQ281" s="1" t="str">
        <f t="shared" si="12"/>
        <v>CEMIG | Gás comprado para revenda</v>
      </c>
      <c r="BV281" s="36" t="s">
        <v>72</v>
      </c>
      <c r="BW281" s="30">
        <v>-198475</v>
      </c>
      <c r="BX281" s="30">
        <v>-213270</v>
      </c>
      <c r="BY281" s="30">
        <v>-227205</v>
      </c>
      <c r="BZ281" s="32">
        <v>-240910</v>
      </c>
      <c r="CA281" s="32">
        <v>-485097</v>
      </c>
      <c r="CB281" s="32">
        <v>-488852</v>
      </c>
      <c r="CC281" s="32">
        <v>-563716</v>
      </c>
      <c r="CD281" s="32">
        <v>-543988</v>
      </c>
      <c r="CE281" s="32">
        <v>-508828</v>
      </c>
      <c r="CF281" s="32">
        <v>-510177</v>
      </c>
      <c r="CG281" s="32">
        <v>-522622</v>
      </c>
      <c r="CH281" s="32">
        <v>-527146</v>
      </c>
      <c r="CI281" s="32">
        <v>-572442</v>
      </c>
      <c r="CJ281" s="32">
        <v>-614803</v>
      </c>
      <c r="CK281" s="32">
        <v>-697185</v>
      </c>
      <c r="CL281" s="32">
        <v>-782453</v>
      </c>
      <c r="CM281" s="32">
        <v>-692063</v>
      </c>
      <c r="CN281" s="32">
        <v>-563781</v>
      </c>
      <c r="CO281" s="32">
        <v>-583288</v>
      </c>
      <c r="CP281" s="32">
        <v>-560010</v>
      </c>
      <c r="CQ281" s="32">
        <v>-480517</v>
      </c>
      <c r="CR281" s="32">
        <v>-387525</v>
      </c>
      <c r="CS281" s="32">
        <v>-332425</v>
      </c>
      <c r="CT281" s="32">
        <v>-207361</v>
      </c>
      <c r="CU281" s="32">
        <v>-231378</v>
      </c>
      <c r="CV281" s="32">
        <v>-311925</v>
      </c>
    </row>
    <row r="282" spans="69:100" ht="19" customHeight="1" x14ac:dyDescent="0.35">
      <c r="BQ282" s="1" t="str">
        <f t="shared" si="12"/>
        <v>CEMIG | Custos de construção de infraestrutura</v>
      </c>
      <c r="BV282" s="36" t="s">
        <v>73</v>
      </c>
      <c r="BW282" s="30">
        <v>-1753090</v>
      </c>
      <c r="BX282" s="30">
        <v>-1482436</v>
      </c>
      <c r="BY282" s="30">
        <v>-1835609</v>
      </c>
      <c r="BZ282" s="32">
        <v>-1602092</v>
      </c>
      <c r="CA282" s="32">
        <v>-1463371</v>
      </c>
      <c r="CB282" s="32">
        <v>-1201864</v>
      </c>
      <c r="CC282" s="32">
        <v>-1518396</v>
      </c>
      <c r="CD282" s="32">
        <v>-1336151</v>
      </c>
      <c r="CE282" s="32">
        <v>-1226933</v>
      </c>
      <c r="CF282" s="32">
        <v>-920981</v>
      </c>
      <c r="CG282" s="32">
        <v>-1210562</v>
      </c>
      <c r="CH282" s="32">
        <v>-1193629</v>
      </c>
      <c r="CI282" s="32">
        <v>-964240</v>
      </c>
      <c r="CJ282" s="32">
        <v>-703281</v>
      </c>
      <c r="CK282" s="32">
        <v>-1138606</v>
      </c>
      <c r="CL282" s="32">
        <v>-1135414</v>
      </c>
      <c r="CM282" s="32">
        <v>-771160</v>
      </c>
      <c r="CN282" s="32">
        <v>-491262</v>
      </c>
      <c r="CO282" s="32">
        <v>-697551</v>
      </c>
      <c r="CP282" s="32">
        <v>-552536</v>
      </c>
      <c r="CQ282" s="32">
        <v>-437186</v>
      </c>
      <c r="CR282" s="32">
        <v>-348375</v>
      </c>
      <c r="CS282" s="32">
        <v>-458839</v>
      </c>
      <c r="CT282" s="32">
        <v>-438960</v>
      </c>
      <c r="CU282" s="32">
        <v>-373405</v>
      </c>
      <c r="CV282" s="32">
        <v>-310271</v>
      </c>
    </row>
    <row r="283" spans="69:100" ht="19" customHeight="1" x14ac:dyDescent="0.35">
      <c r="BQ283" s="1" t="str">
        <f t="shared" si="12"/>
        <v>CEMIG | Pessoal (reversões)</v>
      </c>
      <c r="BT283" s="390"/>
      <c r="BV283" s="36" t="s">
        <v>74</v>
      </c>
      <c r="BW283" s="30">
        <v>-420807</v>
      </c>
      <c r="BX283" s="30">
        <v>-365592</v>
      </c>
      <c r="BY283" s="30">
        <v>-381535</v>
      </c>
      <c r="BZ283" s="32">
        <v>-337206</v>
      </c>
      <c r="CA283" s="32">
        <v>-388389</v>
      </c>
      <c r="CB283" s="32">
        <v>-346290</v>
      </c>
      <c r="CC283" s="32">
        <v>-332460</v>
      </c>
      <c r="CD283" s="32">
        <v>-326125</v>
      </c>
      <c r="CE283" s="32">
        <v>-416784</v>
      </c>
      <c r="CF283" s="32">
        <v>-324058</v>
      </c>
      <c r="CG283" s="32">
        <v>-348543</v>
      </c>
      <c r="CH283" s="32">
        <v>-302927</v>
      </c>
      <c r="CI283" s="32">
        <v>-321233</v>
      </c>
      <c r="CJ283" s="32">
        <v>-335197</v>
      </c>
      <c r="CK283" s="32">
        <v>-368027</v>
      </c>
      <c r="CL283" s="32">
        <v>-309758</v>
      </c>
      <c r="CM283" s="32">
        <v>-370647</v>
      </c>
      <c r="CN283" s="32">
        <v>-303567</v>
      </c>
      <c r="CO283" s="32">
        <v>-327870</v>
      </c>
      <c r="CP283" s="32">
        <v>-262275</v>
      </c>
      <c r="CQ283" s="32">
        <v>-342869</v>
      </c>
      <c r="CR283" s="32">
        <v>-307454</v>
      </c>
      <c r="CS283" s="32">
        <v>-335192</v>
      </c>
      <c r="CT283" s="32">
        <v>-290095</v>
      </c>
      <c r="CU283" s="32">
        <v>-339183</v>
      </c>
      <c r="CV283" s="32">
        <v>-311606</v>
      </c>
    </row>
    <row r="284" spans="69:100" ht="19" customHeight="1" x14ac:dyDescent="0.35">
      <c r="BQ284" s="1" t="str">
        <f t="shared" si="12"/>
        <v>CEMIG | Participação dos empregados e administradores no resultado</v>
      </c>
      <c r="BT284" s="390"/>
      <c r="BV284" s="36" t="s">
        <v>75</v>
      </c>
      <c r="BW284" s="30">
        <v>-53380</v>
      </c>
      <c r="BX284" s="30">
        <v>-45054</v>
      </c>
      <c r="BY284" s="30">
        <v>-78177</v>
      </c>
      <c r="BZ284" s="32">
        <v>-47819</v>
      </c>
      <c r="CA284" s="32">
        <v>-46024</v>
      </c>
      <c r="CB284" s="32">
        <v>-43285</v>
      </c>
      <c r="CC284" s="32">
        <v>-48902</v>
      </c>
      <c r="CD284" s="32">
        <v>-40965</v>
      </c>
      <c r="CE284" s="32">
        <v>-43187</v>
      </c>
      <c r="CF284" s="32">
        <v>-39232</v>
      </c>
      <c r="CG284" s="32">
        <v>-38746</v>
      </c>
      <c r="CH284" s="32">
        <v>-43603</v>
      </c>
      <c r="CI284" s="32">
        <v>-36645</v>
      </c>
      <c r="CJ284" s="32">
        <v>-38127</v>
      </c>
      <c r="CK284" s="32">
        <v>15325</v>
      </c>
      <c r="CL284" s="32">
        <v>-24518</v>
      </c>
      <c r="CM284" s="32">
        <v>-36700</v>
      </c>
      <c r="CN284" s="32">
        <v>-37150</v>
      </c>
      <c r="CO284" s="32">
        <v>-29786</v>
      </c>
      <c r="CP284" s="32">
        <v>-55292</v>
      </c>
      <c r="CQ284" s="32">
        <v>-19675</v>
      </c>
      <c r="CR284" s="32">
        <v>-29514</v>
      </c>
      <c r="CS284" s="32">
        <v>-32965</v>
      </c>
      <c r="CT284" s="32">
        <v>-75602</v>
      </c>
      <c r="CU284" s="32">
        <v>-7440</v>
      </c>
      <c r="CV284" s="32">
        <v>-25840</v>
      </c>
    </row>
    <row r="285" spans="69:100" ht="19" customHeight="1" x14ac:dyDescent="0.35">
      <c r="BQ285" s="1" t="str">
        <f t="shared" si="12"/>
        <v>CEMIG | Obrigações pós-emprego (reversões)</v>
      </c>
      <c r="BT285" s="390"/>
      <c r="BV285" s="36" t="s">
        <v>76</v>
      </c>
      <c r="BW285" s="30">
        <v>-50233</v>
      </c>
      <c r="BX285" s="30">
        <v>-50233</v>
      </c>
      <c r="BY285" s="30">
        <v>1067416</v>
      </c>
      <c r="BZ285" s="32">
        <v>-105297</v>
      </c>
      <c r="CA285" s="32">
        <v>-109324</v>
      </c>
      <c r="CB285" s="32">
        <v>-102405</v>
      </c>
      <c r="CC285" s="32">
        <v>-121809</v>
      </c>
      <c r="CD285" s="32">
        <v>-122028</v>
      </c>
      <c r="CE285" s="32">
        <v>-98391</v>
      </c>
      <c r="CF285" s="32">
        <v>-142285</v>
      </c>
      <c r="CG285" s="32">
        <v>-161347</v>
      </c>
      <c r="CH285" s="32">
        <v>-168786</v>
      </c>
      <c r="CI285" s="32">
        <v>-157841</v>
      </c>
      <c r="CJ285" s="32">
        <v>-103038</v>
      </c>
      <c r="CK285" s="32">
        <v>-157317</v>
      </c>
      <c r="CL285" s="32">
        <v>-163946</v>
      </c>
      <c r="CM285" s="32">
        <v>-151285</v>
      </c>
      <c r="CN285" s="32">
        <v>-153480</v>
      </c>
      <c r="CO285" s="32">
        <v>309711</v>
      </c>
      <c r="CP285" s="32">
        <v>-108934</v>
      </c>
      <c r="CQ285" s="32">
        <v>-109288</v>
      </c>
      <c r="CR285" s="32">
        <v>-106683</v>
      </c>
      <c r="CS285" s="32">
        <v>-104006</v>
      </c>
      <c r="CT285" s="32">
        <v>-110512</v>
      </c>
      <c r="CU285" s="32">
        <v>-118322</v>
      </c>
      <c r="CV285" s="32">
        <v>-105405</v>
      </c>
    </row>
    <row r="286" spans="69:100" ht="19" customHeight="1" x14ac:dyDescent="0.35">
      <c r="BQ286" s="1" t="str">
        <f t="shared" si="12"/>
        <v>CEMIG | Materiais</v>
      </c>
      <c r="BT286" s="390"/>
      <c r="BV286" s="36" t="s">
        <v>77</v>
      </c>
      <c r="BW286" s="30">
        <v>-24341</v>
      </c>
      <c r="BX286" s="30">
        <v>-32348</v>
      </c>
      <c r="BY286" s="30">
        <v>-65219</v>
      </c>
      <c r="BZ286" s="32">
        <v>-32417</v>
      </c>
      <c r="CA286" s="32">
        <v>-26654</v>
      </c>
      <c r="CB286" s="32">
        <v>-38693</v>
      </c>
      <c r="CC286" s="32">
        <v>-36933</v>
      </c>
      <c r="CD286" s="32">
        <v>-34676</v>
      </c>
      <c r="CE286" s="32">
        <v>-33591</v>
      </c>
      <c r="CF286" s="32">
        <v>-28970</v>
      </c>
      <c r="CG286" s="32">
        <v>-51276</v>
      </c>
      <c r="CH286" s="32">
        <v>-28478</v>
      </c>
      <c r="CI286" s="32">
        <v>-30826</v>
      </c>
      <c r="CJ286" s="32">
        <v>-29233</v>
      </c>
      <c r="CK286" s="32">
        <v>-61119</v>
      </c>
      <c r="CL286" s="32">
        <v>-34152</v>
      </c>
      <c r="CM286" s="32">
        <v>-33047</v>
      </c>
      <c r="CN286" s="32">
        <v>-20252</v>
      </c>
      <c r="CO286" s="32">
        <v>-23943</v>
      </c>
      <c r="CP286" s="32">
        <v>-23876</v>
      </c>
      <c r="CQ286" s="32">
        <v>-25352</v>
      </c>
      <c r="CR286" s="32">
        <v>-20850</v>
      </c>
      <c r="CS286" s="32">
        <v>-21597</v>
      </c>
      <c r="CT286" s="32">
        <v>-22714</v>
      </c>
      <c r="CU286" s="32">
        <v>-16141</v>
      </c>
      <c r="CV286" s="32">
        <v>-18625</v>
      </c>
    </row>
    <row r="287" spans="69:100" ht="19" customHeight="1" x14ac:dyDescent="0.35">
      <c r="BQ287" s="1" t="str">
        <f t="shared" si="12"/>
        <v>CEMIG | Serviços de terceiros</v>
      </c>
      <c r="BT287" s="390"/>
      <c r="BV287" s="36" t="s">
        <v>78</v>
      </c>
      <c r="BW287" s="30">
        <v>-640052</v>
      </c>
      <c r="BX287" s="30">
        <v>-596063</v>
      </c>
      <c r="BY287" s="30">
        <v>-704541</v>
      </c>
      <c r="BZ287" s="32">
        <v>-584209</v>
      </c>
      <c r="CA287" s="32">
        <v>-527007</v>
      </c>
      <c r="CB287" s="32">
        <v>-514714</v>
      </c>
      <c r="CC287" s="32">
        <v>-618024</v>
      </c>
      <c r="CD287" s="32">
        <v>-497493</v>
      </c>
      <c r="CE287" s="32">
        <v>-507706</v>
      </c>
      <c r="CF287" s="32">
        <v>-518907</v>
      </c>
      <c r="CG287" s="32">
        <v>-511225</v>
      </c>
      <c r="CH287" s="32">
        <v>-466584</v>
      </c>
      <c r="CI287" s="32">
        <v>-456909</v>
      </c>
      <c r="CJ287" s="32">
        <v>-467446</v>
      </c>
      <c r="CK287" s="32">
        <v>-523674</v>
      </c>
      <c r="CL287" s="32">
        <v>-409376</v>
      </c>
      <c r="CM287" s="32">
        <v>-393367</v>
      </c>
      <c r="CN287" s="32">
        <v>-379749</v>
      </c>
      <c r="CO287" s="32">
        <v>-408407</v>
      </c>
      <c r="CP287" s="32">
        <v>-354472</v>
      </c>
      <c r="CQ287" s="32">
        <v>-344641</v>
      </c>
      <c r="CR287" s="32">
        <v>-342434</v>
      </c>
      <c r="CS287" s="32">
        <v>-360323</v>
      </c>
      <c r="CT287" s="32">
        <v>-302775</v>
      </c>
      <c r="CU287" s="32">
        <v>-302609</v>
      </c>
      <c r="CV287" s="32">
        <v>-299081</v>
      </c>
    </row>
    <row r="288" spans="69:100" ht="19" customHeight="1" x14ac:dyDescent="0.35">
      <c r="BQ288" s="1" t="str">
        <f t="shared" si="12"/>
        <v>CEMIG | Depreciação e amortização</v>
      </c>
      <c r="BT288" s="390"/>
      <c r="BV288" s="36" t="s">
        <v>79</v>
      </c>
      <c r="BW288" s="30">
        <v>-410069</v>
      </c>
      <c r="BX288" s="30">
        <v>-401321</v>
      </c>
      <c r="BY288" s="30">
        <v>-423244</v>
      </c>
      <c r="BZ288" s="32">
        <v>-377932</v>
      </c>
      <c r="CA288" s="32">
        <v>-368393</v>
      </c>
      <c r="CB288" s="32">
        <v>-363847</v>
      </c>
      <c r="CC288" s="32">
        <v>-363965</v>
      </c>
      <c r="CD288" s="32">
        <v>-345742</v>
      </c>
      <c r="CE288" s="32">
        <v>-337779</v>
      </c>
      <c r="CF288" s="32">
        <v>-328542</v>
      </c>
      <c r="CG288" s="32">
        <v>-351452</v>
      </c>
      <c r="CH288" s="32">
        <v>-316693</v>
      </c>
      <c r="CI288" s="32">
        <v>-303263</v>
      </c>
      <c r="CJ288" s="32">
        <v>-302666</v>
      </c>
      <c r="CK288" s="32">
        <v>-312548</v>
      </c>
      <c r="CL288" s="32">
        <v>-297607</v>
      </c>
      <c r="CM288" s="32">
        <v>-288020</v>
      </c>
      <c r="CN288" s="32">
        <v>-283909</v>
      </c>
      <c r="CO288" s="32">
        <v>-282545</v>
      </c>
      <c r="CP288" s="32">
        <v>-286400</v>
      </c>
      <c r="CQ288" s="32">
        <v>-241733</v>
      </c>
      <c r="CR288" s="32">
        <v>-238431</v>
      </c>
      <c r="CS288" s="32">
        <v>-255515</v>
      </c>
      <c r="CT288" s="32">
        <v>-245089</v>
      </c>
      <c r="CU288" s="32">
        <v>-245697</v>
      </c>
      <c r="CV288" s="32">
        <v>-242752</v>
      </c>
    </row>
    <row r="289" spans="69:101" ht="19" customHeight="1" x14ac:dyDescent="0.35">
      <c r="BQ289" s="1" t="str">
        <f t="shared" si="12"/>
        <v>CEMIG | Provisões (reversões)</v>
      </c>
      <c r="BT289" s="390"/>
      <c r="BV289" s="36" t="s">
        <v>80</v>
      </c>
      <c r="BW289" s="30">
        <v>-215149</v>
      </c>
      <c r="BX289" s="30">
        <v>-84000</v>
      </c>
      <c r="BY289" s="30">
        <v>-302155</v>
      </c>
      <c r="BZ289" s="32">
        <v>-101408</v>
      </c>
      <c r="CA289" s="32">
        <v>-63999</v>
      </c>
      <c r="CB289" s="32">
        <v>-145574</v>
      </c>
      <c r="CC289" s="32">
        <v>-115642</v>
      </c>
      <c r="CD289" s="32">
        <v>-92837</v>
      </c>
      <c r="CE289" s="32">
        <v>429592</v>
      </c>
      <c r="CF289" s="32">
        <v>-139585</v>
      </c>
      <c r="CG289" s="32">
        <v>-88390</v>
      </c>
      <c r="CH289" s="32">
        <v>-99522</v>
      </c>
      <c r="CI289" s="32">
        <v>-132503</v>
      </c>
      <c r="CJ289" s="32">
        <v>-113536</v>
      </c>
      <c r="CK289" s="32">
        <v>1226207</v>
      </c>
      <c r="CL289" s="32">
        <v>-86428</v>
      </c>
      <c r="CM289" s="32">
        <v>-1420370</v>
      </c>
      <c r="CN289" s="32">
        <v>-120265</v>
      </c>
      <c r="CO289" s="32">
        <v>-140789</v>
      </c>
      <c r="CP289" s="32">
        <v>-38822</v>
      </c>
      <c r="CQ289" s="32">
        <v>-70160</v>
      </c>
      <c r="CR289" s="32">
        <v>18949</v>
      </c>
      <c r="CS289" s="32">
        <v>-79729</v>
      </c>
      <c r="CT289" s="32">
        <v>-55223</v>
      </c>
      <c r="CU289" s="32">
        <v>-82253</v>
      </c>
      <c r="CV289" s="32">
        <v>-59376</v>
      </c>
    </row>
    <row r="290" spans="69:101" ht="19" customHeight="1" x14ac:dyDescent="0.35">
      <c r="BQ290" s="1" t="str">
        <f t="shared" si="12"/>
        <v>CEMIG | Perda por redução ao valor recuperável</v>
      </c>
      <c r="BV290" s="36" t="s">
        <v>81</v>
      </c>
      <c r="BW290" s="30">
        <v>0</v>
      </c>
      <c r="BX290" s="30">
        <v>0</v>
      </c>
      <c r="BY290" s="30">
        <v>0</v>
      </c>
      <c r="BZ290" s="32">
        <v>0</v>
      </c>
      <c r="CA290" s="32">
        <v>0</v>
      </c>
      <c r="CB290" s="32">
        <v>0</v>
      </c>
      <c r="CC290" s="32">
        <v>-17087</v>
      </c>
      <c r="CD290" s="32">
        <v>-1491</v>
      </c>
      <c r="CE290" s="32">
        <v>-4438</v>
      </c>
      <c r="CF290" s="32">
        <v>-22958</v>
      </c>
      <c r="CG290" s="32">
        <v>0</v>
      </c>
      <c r="CH290" s="32">
        <v>45791</v>
      </c>
      <c r="CI290" s="32">
        <v>335</v>
      </c>
      <c r="CJ290" s="32">
        <v>-46126</v>
      </c>
      <c r="CK290" s="32">
        <v>37182</v>
      </c>
      <c r="CL290" s="32">
        <v>-37182</v>
      </c>
      <c r="CM290" s="32">
        <v>0</v>
      </c>
      <c r="CN290" s="32">
        <v>0</v>
      </c>
      <c r="CO290" s="32">
        <v>0</v>
      </c>
      <c r="CP290" s="32">
        <v>0</v>
      </c>
      <c r="CQ290" s="32">
        <v>0</v>
      </c>
      <c r="CR290" s="32">
        <v>0</v>
      </c>
      <c r="CS290" s="32">
        <v>0</v>
      </c>
      <c r="CT290" s="32">
        <v>0</v>
      </c>
      <c r="CU290" s="32">
        <v>0</v>
      </c>
      <c r="CV290" s="32">
        <v>0</v>
      </c>
    </row>
    <row r="291" spans="69:101" ht="19" customHeight="1" x14ac:dyDescent="0.35">
      <c r="BQ291" s="1" t="str">
        <f t="shared" si="12"/>
        <v>CEMIG | Perdas de créditos esperadas</v>
      </c>
      <c r="BT291" s="390"/>
      <c r="BV291" s="36" t="s">
        <v>82</v>
      </c>
      <c r="BW291" s="30">
        <v>177013</v>
      </c>
      <c r="BX291" s="30">
        <v>-83363</v>
      </c>
      <c r="BY291" s="30">
        <v>-47391</v>
      </c>
      <c r="BZ291" s="32">
        <v>-60304</v>
      </c>
      <c r="CA291" s="32">
        <v>-3098</v>
      </c>
      <c r="CB291" s="32">
        <v>-50628</v>
      </c>
      <c r="CC291" s="32">
        <v>-72204</v>
      </c>
      <c r="CD291" s="32">
        <v>50556</v>
      </c>
      <c r="CE291" s="32">
        <v>-77300</v>
      </c>
      <c r="CF291" s="32">
        <v>-75853</v>
      </c>
      <c r="CG291" s="32">
        <v>-102311</v>
      </c>
      <c r="CH291" s="32">
        <v>-43160</v>
      </c>
      <c r="CI291" s="32">
        <v>-21266</v>
      </c>
      <c r="CJ291" s="32">
        <v>-7926</v>
      </c>
      <c r="CK291" s="32">
        <v>-60125</v>
      </c>
      <c r="CL291" s="32">
        <v>84852</v>
      </c>
      <c r="CM291" s="32">
        <v>-90366</v>
      </c>
      <c r="CN291" s="32">
        <v>-43092</v>
      </c>
      <c r="CO291" s="32">
        <v>-64393</v>
      </c>
      <c r="CP291" s="32">
        <v>-37295</v>
      </c>
      <c r="CQ291" s="32">
        <v>985</v>
      </c>
      <c r="CR291" s="32">
        <v>-43153</v>
      </c>
      <c r="CS291" s="32">
        <v>-88434</v>
      </c>
      <c r="CT291" s="32">
        <v>156829</v>
      </c>
      <c r="CU291" s="32">
        <v>-115360</v>
      </c>
      <c r="CV291" s="32">
        <v>-99740</v>
      </c>
    </row>
    <row r="292" spans="69:101" ht="19" customHeight="1" x14ac:dyDescent="0.35">
      <c r="BQ292" s="1" t="str">
        <f t="shared" si="12"/>
        <v>CEMIG | Perda esperada com outros créditos</v>
      </c>
      <c r="BT292" s="390"/>
      <c r="BV292" s="36" t="s">
        <v>83</v>
      </c>
      <c r="BW292" s="30">
        <v>-50312</v>
      </c>
      <c r="BX292" s="30">
        <v>-34534</v>
      </c>
      <c r="BY292" s="30">
        <v>-15496</v>
      </c>
      <c r="BZ292" s="32">
        <v>-24616</v>
      </c>
      <c r="CA292" s="32">
        <v>-30126</v>
      </c>
      <c r="CB292" s="32">
        <v>0</v>
      </c>
      <c r="CC292" s="32">
        <v>-54208</v>
      </c>
      <c r="CD292" s="32">
        <v>0</v>
      </c>
      <c r="CE292" s="32">
        <v>0</v>
      </c>
      <c r="CF292" s="32">
        <v>0</v>
      </c>
      <c r="CG292" s="32">
        <v>0</v>
      </c>
      <c r="CH292" s="32">
        <v>0</v>
      </c>
      <c r="CI292" s="32">
        <v>0</v>
      </c>
      <c r="CJ292" s="32">
        <v>0</v>
      </c>
      <c r="CK292" s="32">
        <v>0</v>
      </c>
      <c r="CL292" s="32">
        <v>0</v>
      </c>
      <c r="CM292" s="32">
        <v>0</v>
      </c>
      <c r="CN292" s="32">
        <v>0</v>
      </c>
      <c r="CO292" s="32">
        <v>0</v>
      </c>
      <c r="CP292" s="32">
        <v>0</v>
      </c>
      <c r="CQ292" s="32">
        <v>0</v>
      </c>
      <c r="CR292" s="32">
        <v>0</v>
      </c>
      <c r="CS292" s="32">
        <v>0</v>
      </c>
      <c r="CT292" s="32">
        <v>0</v>
      </c>
      <c r="CU292" s="32">
        <v>0</v>
      </c>
      <c r="CV292" s="32">
        <v>0</v>
      </c>
    </row>
    <row r="293" spans="69:101" ht="19" customHeight="1" x14ac:dyDescent="0.35">
      <c r="BQ293" s="1" t="str">
        <f t="shared" si="12"/>
        <v>CEMIG | Provisão de perda esperada com parte relacionada</v>
      </c>
      <c r="BV293" s="36" t="s">
        <v>84</v>
      </c>
      <c r="BW293" s="30">
        <v>0</v>
      </c>
      <c r="BX293" s="30">
        <v>0</v>
      </c>
      <c r="BY293" s="30">
        <v>0</v>
      </c>
      <c r="BZ293" s="32">
        <v>0</v>
      </c>
      <c r="CA293" s="32">
        <v>0</v>
      </c>
      <c r="CB293" s="32">
        <v>0</v>
      </c>
      <c r="CC293" s="32">
        <v>0</v>
      </c>
      <c r="CD293" s="32">
        <v>0</v>
      </c>
      <c r="CE293" s="32">
        <v>0</v>
      </c>
      <c r="CF293" s="32">
        <v>0</v>
      </c>
      <c r="CG293" s="32">
        <v>-1250</v>
      </c>
      <c r="CH293" s="32">
        <v>0</v>
      </c>
      <c r="CI293" s="32">
        <v>0</v>
      </c>
      <c r="CJ293" s="32">
        <v>0</v>
      </c>
      <c r="CK293" s="32">
        <v>53356</v>
      </c>
      <c r="CL293" s="32">
        <v>504</v>
      </c>
      <c r="CM293" s="32">
        <v>0</v>
      </c>
      <c r="CN293" s="32">
        <v>0</v>
      </c>
      <c r="CO293" s="32">
        <v>0</v>
      </c>
      <c r="CP293" s="32">
        <v>0</v>
      </c>
      <c r="CQ293" s="32">
        <v>0</v>
      </c>
      <c r="CR293" s="32">
        <v>0</v>
      </c>
      <c r="CS293" s="32">
        <v>0</v>
      </c>
      <c r="CT293" s="32">
        <v>0</v>
      </c>
      <c r="CU293" s="32">
        <v>0</v>
      </c>
      <c r="CV293" s="32">
        <v>0</v>
      </c>
    </row>
    <row r="294" spans="69:101" ht="19" customHeight="1" x14ac:dyDescent="0.35">
      <c r="BQ294" s="1" t="str">
        <f t="shared" si="12"/>
        <v>CEMIG | Baixa de ativo financeiro</v>
      </c>
      <c r="BV294" s="36" t="s">
        <v>85</v>
      </c>
      <c r="BW294" s="30">
        <v>0</v>
      </c>
      <c r="BX294" s="30">
        <v>0</v>
      </c>
      <c r="BY294" s="30">
        <v>0</v>
      </c>
      <c r="BZ294" s="32">
        <v>0</v>
      </c>
      <c r="CA294" s="32">
        <v>0</v>
      </c>
      <c r="CB294" s="32">
        <v>0</v>
      </c>
      <c r="CC294" s="32">
        <v>0</v>
      </c>
      <c r="CD294" s="32">
        <v>0</v>
      </c>
      <c r="CE294" s="32">
        <v>0</v>
      </c>
      <c r="CF294" s="32">
        <v>0</v>
      </c>
      <c r="CG294" s="32">
        <v>0</v>
      </c>
      <c r="CH294" s="32">
        <v>0</v>
      </c>
      <c r="CI294" s="32">
        <v>0</v>
      </c>
      <c r="CJ294" s="32">
        <v>0</v>
      </c>
      <c r="CK294" s="32">
        <v>4</v>
      </c>
      <c r="CL294" s="32">
        <v>0</v>
      </c>
      <c r="CM294" s="32">
        <v>-171774</v>
      </c>
      <c r="CN294" s="32">
        <v>0</v>
      </c>
      <c r="CO294" s="32">
        <v>0</v>
      </c>
      <c r="CP294" s="32">
        <v>0</v>
      </c>
      <c r="CQ294" s="32">
        <v>0</v>
      </c>
      <c r="CR294" s="32">
        <v>0</v>
      </c>
      <c r="CS294" s="32">
        <v>0</v>
      </c>
      <c r="CT294" s="32">
        <v>0</v>
      </c>
      <c r="CU294" s="32">
        <v>0</v>
      </c>
      <c r="CV294" s="32">
        <v>0</v>
      </c>
    </row>
    <row r="295" spans="69:101" ht="19" customHeight="1" x14ac:dyDescent="0.35">
      <c r="BQ295" s="1" t="str">
        <f t="shared" si="12"/>
        <v>CEMIG | Reversão de provisão com parte relacionada</v>
      </c>
      <c r="BV295" s="36" t="s">
        <v>86</v>
      </c>
      <c r="BW295" s="30">
        <v>0</v>
      </c>
      <c r="BX295" s="30">
        <v>0</v>
      </c>
      <c r="BY295" s="30">
        <v>0</v>
      </c>
      <c r="BZ295" s="32">
        <v>0</v>
      </c>
      <c r="CA295" s="32">
        <v>0</v>
      </c>
      <c r="CB295" s="32">
        <v>0</v>
      </c>
      <c r="CC295" s="32">
        <v>0</v>
      </c>
      <c r="CD295" s="32">
        <v>57835</v>
      </c>
      <c r="CE295" s="32">
        <v>0</v>
      </c>
      <c r="CF295" s="32">
        <v>0</v>
      </c>
      <c r="CG295" s="32">
        <v>0</v>
      </c>
      <c r="CH295" s="32">
        <v>0</v>
      </c>
      <c r="CI295" s="32">
        <v>0</v>
      </c>
      <c r="CJ295" s="32">
        <v>0</v>
      </c>
      <c r="CK295" s="32">
        <v>0</v>
      </c>
      <c r="CL295" s="32">
        <v>0</v>
      </c>
      <c r="CM295" s="32">
        <v>0</v>
      </c>
      <c r="CN295" s="32">
        <v>0</v>
      </c>
      <c r="CO295" s="32">
        <v>0</v>
      </c>
      <c r="CP295" s="32">
        <v>0</v>
      </c>
      <c r="CQ295" s="32">
        <v>0</v>
      </c>
      <c r="CR295" s="32">
        <v>0</v>
      </c>
      <c r="CS295" s="32">
        <v>0</v>
      </c>
      <c r="CT295" s="32">
        <v>0</v>
      </c>
      <c r="CU295" s="32">
        <v>0</v>
      </c>
      <c r="CV295" s="32">
        <v>0</v>
      </c>
    </row>
    <row r="296" spans="69:101" ht="19" customHeight="1" x14ac:dyDescent="0.35">
      <c r="BQ296" s="1" t="str">
        <f t="shared" si="12"/>
        <v>CEMIG | Remensuração RBSE</v>
      </c>
      <c r="BV296" s="36" t="s">
        <v>87</v>
      </c>
      <c r="BW296" s="30">
        <v>0</v>
      </c>
      <c r="BX296" s="30">
        <v>0</v>
      </c>
      <c r="BY296" s="30">
        <v>0</v>
      </c>
      <c r="BZ296" s="32">
        <v>0</v>
      </c>
      <c r="CA296" s="32">
        <v>-198895</v>
      </c>
      <c r="CB296" s="32">
        <v>0</v>
      </c>
      <c r="CC296" s="32">
        <v>0</v>
      </c>
      <c r="CD296" s="32">
        <v>0</v>
      </c>
      <c r="CE296" s="32">
        <v>0</v>
      </c>
      <c r="CF296" s="32">
        <v>0</v>
      </c>
      <c r="CG296" s="32">
        <v>0</v>
      </c>
      <c r="CH296" s="32">
        <v>0</v>
      </c>
      <c r="CI296" s="32">
        <v>0</v>
      </c>
      <c r="CJ296" s="32">
        <v>0</v>
      </c>
      <c r="CK296" s="32">
        <v>0</v>
      </c>
      <c r="CL296" s="32">
        <v>0</v>
      </c>
      <c r="CM296" s="32">
        <v>0</v>
      </c>
      <c r="CN296" s="32">
        <v>0</v>
      </c>
      <c r="CO296" s="32">
        <v>0</v>
      </c>
      <c r="CP296" s="32">
        <v>0</v>
      </c>
      <c r="CQ296" s="32">
        <v>0</v>
      </c>
      <c r="CR296" s="32">
        <v>0</v>
      </c>
      <c r="CS296" s="32">
        <v>0</v>
      </c>
      <c r="CT296" s="32">
        <v>0</v>
      </c>
      <c r="CU296" s="32">
        <v>0</v>
      </c>
      <c r="CV296" s="32">
        <v>0</v>
      </c>
    </row>
    <row r="297" spans="69:101" ht="19" customHeight="1" x14ac:dyDescent="0.35">
      <c r="BQ297" s="1" t="str">
        <f t="shared" si="12"/>
        <v>CEMIG | Outros custos e despesas</v>
      </c>
      <c r="BT297" s="390"/>
      <c r="BV297" s="36" t="s">
        <v>88</v>
      </c>
      <c r="BW297" s="30">
        <v>-163717</v>
      </c>
      <c r="BX297" s="30">
        <v>-131804</v>
      </c>
      <c r="BY297" s="30">
        <v>-227669</v>
      </c>
      <c r="BZ297" s="32">
        <v>-94535</v>
      </c>
      <c r="CA297" s="32">
        <v>-138641</v>
      </c>
      <c r="CB297" s="32">
        <v>-92908</v>
      </c>
      <c r="CC297" s="32">
        <v>-181549</v>
      </c>
      <c r="CD297" s="32">
        <v>-144903</v>
      </c>
      <c r="CE297" s="32">
        <v>-106190</v>
      </c>
      <c r="CF297" s="32">
        <v>-103263</v>
      </c>
      <c r="CG297" s="32">
        <v>-185091</v>
      </c>
      <c r="CH297" s="32">
        <v>-110341</v>
      </c>
      <c r="CI297" s="32">
        <v>-143051</v>
      </c>
      <c r="CJ297" s="32">
        <v>-65533</v>
      </c>
      <c r="CK297" s="32">
        <v>-228362</v>
      </c>
      <c r="CL297" s="32">
        <v>-68214</v>
      </c>
      <c r="CM297" s="32">
        <v>-65888</v>
      </c>
      <c r="CN297" s="32">
        <v>-30551</v>
      </c>
      <c r="CO297" s="32">
        <v>-167079</v>
      </c>
      <c r="CP297" s="32">
        <v>-71766</v>
      </c>
      <c r="CQ297" s="32">
        <v>-77580</v>
      </c>
      <c r="CR297" s="32">
        <v>-77000</v>
      </c>
      <c r="CS297" s="32">
        <v>169263</v>
      </c>
      <c r="CT297" s="32">
        <v>-204197</v>
      </c>
      <c r="CU297" s="32">
        <v>402464</v>
      </c>
      <c r="CV297" s="32">
        <v>-663165</v>
      </c>
      <c r="CW297" s="27"/>
    </row>
    <row r="298" spans="69:101" ht="19" customHeight="1" x14ac:dyDescent="0.35">
      <c r="BV298" s="7" t="s">
        <v>89</v>
      </c>
      <c r="BW298" s="77">
        <f t="shared" ref="BW298:CV298" si="13">SUM(BW299:BW305)</f>
        <v>0</v>
      </c>
      <c r="BX298" s="77">
        <f>SUM(BX299:BX305)</f>
        <v>26191</v>
      </c>
      <c r="BY298" s="77">
        <f t="shared" si="13"/>
        <v>174008</v>
      </c>
      <c r="BZ298" s="77">
        <f t="shared" si="13"/>
        <v>0</v>
      </c>
      <c r="CA298" s="77">
        <f t="shared" si="13"/>
        <v>0</v>
      </c>
      <c r="CB298" s="77">
        <f t="shared" si="13"/>
        <v>0</v>
      </c>
      <c r="CC298" s="77">
        <f t="shared" si="13"/>
        <v>0</v>
      </c>
      <c r="CD298" s="77">
        <f t="shared" si="13"/>
        <v>3151679</v>
      </c>
      <c r="CE298" s="77">
        <f t="shared" si="13"/>
        <v>0</v>
      </c>
      <c r="CF298" s="77">
        <f t="shared" si="13"/>
        <v>42989</v>
      </c>
      <c r="CG298" s="77">
        <f t="shared" si="13"/>
        <v>296946</v>
      </c>
      <c r="CH298" s="77">
        <f t="shared" si="13"/>
        <v>0</v>
      </c>
      <c r="CI298" s="77">
        <f t="shared" si="13"/>
        <v>0</v>
      </c>
      <c r="CJ298" s="77">
        <f t="shared" si="13"/>
        <v>30487</v>
      </c>
      <c r="CK298" s="77">
        <f t="shared" si="13"/>
        <v>50208</v>
      </c>
      <c r="CL298" s="77">
        <f t="shared" si="13"/>
        <v>0</v>
      </c>
      <c r="CM298" s="77">
        <f t="shared" si="13"/>
        <v>6644</v>
      </c>
      <c r="CN298" s="77">
        <f t="shared" si="13"/>
        <v>0</v>
      </c>
      <c r="CO298" s="77">
        <f t="shared" si="13"/>
        <v>1898</v>
      </c>
      <c r="CP298" s="77">
        <f t="shared" si="13"/>
        <v>0</v>
      </c>
      <c r="CQ298" s="77">
        <f t="shared" si="13"/>
        <v>211247</v>
      </c>
      <c r="CR298" s="77">
        <f t="shared" si="13"/>
        <v>114366</v>
      </c>
      <c r="CS298" s="77">
        <f t="shared" si="13"/>
        <v>22405</v>
      </c>
      <c r="CT298" s="77">
        <f t="shared" si="13"/>
        <v>0</v>
      </c>
      <c r="CU298" s="77">
        <f t="shared" si="13"/>
        <v>479703</v>
      </c>
      <c r="CV298" s="77">
        <f t="shared" si="13"/>
        <v>0</v>
      </c>
    </row>
    <row r="299" spans="69:101" ht="19" customHeight="1" x14ac:dyDescent="0.35">
      <c r="BQ299" s="1" t="str">
        <f t="shared" si="12"/>
        <v>CEMIG | Ganho na alienação de imobilizados</v>
      </c>
      <c r="BV299" s="6" t="s">
        <v>90</v>
      </c>
      <c r="BW299" s="32">
        <v>0</v>
      </c>
      <c r="BX299" s="32">
        <v>0</v>
      </c>
      <c r="BY299" s="32">
        <v>40296</v>
      </c>
      <c r="BZ299" s="51">
        <v>0</v>
      </c>
      <c r="CA299" s="51">
        <v>0</v>
      </c>
      <c r="CB299" s="32">
        <v>0</v>
      </c>
      <c r="CC299" s="32">
        <v>0</v>
      </c>
      <c r="CD299" s="32">
        <v>0</v>
      </c>
      <c r="CE299" s="51">
        <v>0</v>
      </c>
      <c r="CF299" s="32">
        <v>42989</v>
      </c>
      <c r="CG299" s="51">
        <v>0</v>
      </c>
      <c r="CH299" s="51">
        <v>0</v>
      </c>
      <c r="CI299" s="51">
        <v>0</v>
      </c>
      <c r="CJ299" s="51">
        <v>0</v>
      </c>
      <c r="CK299" s="51">
        <v>0</v>
      </c>
      <c r="CL299" s="51">
        <v>0</v>
      </c>
      <c r="CM299" s="51">
        <v>0</v>
      </c>
      <c r="CN299" s="51">
        <v>0</v>
      </c>
      <c r="CO299" s="51">
        <v>0</v>
      </c>
      <c r="CP299" s="51">
        <v>0</v>
      </c>
      <c r="CQ299" s="51">
        <v>0</v>
      </c>
      <c r="CR299" s="51">
        <v>0</v>
      </c>
      <c r="CS299" s="51">
        <v>0</v>
      </c>
      <c r="CT299" s="51">
        <v>0</v>
      </c>
      <c r="CU299" s="51">
        <v>0</v>
      </c>
      <c r="CV299" s="51">
        <v>0</v>
      </c>
    </row>
    <row r="300" spans="69:101" ht="19" customHeight="1" x14ac:dyDescent="0.35">
      <c r="BQ300" s="1" t="str">
        <f t="shared" si="12"/>
        <v>CEMIG | Ganho na alienação de intangíveis</v>
      </c>
      <c r="BV300" s="6" t="s">
        <v>91</v>
      </c>
      <c r="BW300" s="32">
        <v>0</v>
      </c>
      <c r="BX300" s="32">
        <v>26191</v>
      </c>
      <c r="BY300" s="32">
        <v>0</v>
      </c>
      <c r="BZ300" s="32">
        <v>0</v>
      </c>
      <c r="CA300" s="32">
        <v>0</v>
      </c>
      <c r="CB300" s="32">
        <v>0</v>
      </c>
      <c r="CC300" s="32">
        <v>0</v>
      </c>
      <c r="CD300" s="32">
        <v>0</v>
      </c>
      <c r="CE300" s="32">
        <v>0</v>
      </c>
      <c r="CF300" s="32">
        <v>0</v>
      </c>
      <c r="CG300" s="32">
        <v>0</v>
      </c>
      <c r="CH300" s="32">
        <v>0</v>
      </c>
      <c r="CI300" s="32">
        <v>0</v>
      </c>
      <c r="CJ300" s="32">
        <v>0</v>
      </c>
      <c r="CK300" s="32">
        <v>0</v>
      </c>
      <c r="CL300" s="32">
        <v>0</v>
      </c>
      <c r="CM300" s="32">
        <v>0</v>
      </c>
      <c r="CN300" s="32">
        <v>0</v>
      </c>
      <c r="CO300" s="32">
        <v>0</v>
      </c>
      <c r="CP300" s="32">
        <v>0</v>
      </c>
      <c r="CQ300" s="32">
        <v>0</v>
      </c>
      <c r="CR300" s="32">
        <v>0</v>
      </c>
      <c r="CS300" s="32">
        <v>0</v>
      </c>
      <c r="CT300" s="32">
        <v>0</v>
      </c>
      <c r="CU300" s="32">
        <v>0</v>
      </c>
      <c r="CV300" s="32">
        <v>0</v>
      </c>
    </row>
    <row r="301" spans="69:101" ht="19" customHeight="1" x14ac:dyDescent="0.35">
      <c r="BQ301" s="1" t="str">
        <f t="shared" si="12"/>
        <v>CEMIG | Ganho na alienação de investimentos</v>
      </c>
      <c r="BV301" s="6" t="s">
        <v>92</v>
      </c>
      <c r="BW301" s="32">
        <v>0</v>
      </c>
      <c r="BX301" s="32">
        <v>0</v>
      </c>
      <c r="BY301" s="32">
        <v>59520</v>
      </c>
      <c r="BZ301" s="32">
        <v>0</v>
      </c>
      <c r="CA301" s="32">
        <v>0</v>
      </c>
      <c r="CB301" s="32">
        <v>0</v>
      </c>
      <c r="CC301" s="32">
        <v>0</v>
      </c>
      <c r="CD301" s="32">
        <v>1616911</v>
      </c>
      <c r="CE301" s="32">
        <v>0</v>
      </c>
      <c r="CF301" s="32">
        <v>0</v>
      </c>
      <c r="CG301" s="32">
        <v>288308</v>
      </c>
      <c r="CH301" s="32">
        <v>0</v>
      </c>
      <c r="CI301" s="32">
        <v>0</v>
      </c>
      <c r="CJ301" s="32">
        <v>30487</v>
      </c>
      <c r="CK301" s="32">
        <v>44868</v>
      </c>
      <c r="CL301" s="32">
        <v>0</v>
      </c>
      <c r="CM301" s="32">
        <v>6644</v>
      </c>
      <c r="CN301" s="32">
        <v>0</v>
      </c>
      <c r="CO301" s="32">
        <v>0</v>
      </c>
      <c r="CP301" s="32">
        <v>0</v>
      </c>
      <c r="CQ301" s="32">
        <v>0</v>
      </c>
      <c r="CR301" s="32">
        <v>108550</v>
      </c>
      <c r="CS301" s="32">
        <v>0</v>
      </c>
      <c r="CT301" s="32">
        <v>0</v>
      </c>
      <c r="CU301" s="32">
        <v>0</v>
      </c>
      <c r="CV301" s="32">
        <v>0</v>
      </c>
    </row>
    <row r="302" spans="69:101" ht="19" customHeight="1" x14ac:dyDescent="0.35">
      <c r="BQ302" s="1" t="str">
        <f t="shared" si="12"/>
        <v>CEMIG | Ganho por compra vantajosa</v>
      </c>
      <c r="BV302" s="6" t="s">
        <v>93</v>
      </c>
      <c r="BW302" s="32">
        <v>0</v>
      </c>
      <c r="BX302" s="32">
        <v>0</v>
      </c>
      <c r="BY302" s="32">
        <v>12446</v>
      </c>
      <c r="BZ302" s="32">
        <v>0</v>
      </c>
      <c r="CA302" s="32">
        <v>0</v>
      </c>
      <c r="CB302" s="32">
        <v>0</v>
      </c>
      <c r="CC302" s="32">
        <v>0</v>
      </c>
      <c r="CD302" s="32">
        <v>14136</v>
      </c>
      <c r="CE302" s="32">
        <v>0</v>
      </c>
      <c r="CF302" s="32">
        <v>0</v>
      </c>
      <c r="CG302" s="32">
        <v>0</v>
      </c>
      <c r="CH302" s="32">
        <v>0</v>
      </c>
      <c r="CI302" s="32">
        <v>0</v>
      </c>
      <c r="CJ302" s="32">
        <v>0</v>
      </c>
      <c r="CK302" s="32">
        <v>5340</v>
      </c>
      <c r="CL302" s="32">
        <v>0</v>
      </c>
      <c r="CM302" s="32">
        <v>0</v>
      </c>
      <c r="CN302" s="32">
        <v>0</v>
      </c>
      <c r="CO302" s="32">
        <v>4006</v>
      </c>
      <c r="CP302" s="32">
        <v>0</v>
      </c>
      <c r="CQ302" s="32">
        <v>0</v>
      </c>
      <c r="CR302" s="32">
        <v>0</v>
      </c>
      <c r="CS302" s="32">
        <v>0</v>
      </c>
      <c r="CT302" s="32">
        <v>0</v>
      </c>
      <c r="CU302" s="32">
        <v>0</v>
      </c>
      <c r="CV302" s="32">
        <v>0</v>
      </c>
    </row>
    <row r="303" spans="69:101" ht="19" customHeight="1" x14ac:dyDescent="0.35">
      <c r="BQ303" s="1" t="str">
        <f t="shared" si="12"/>
        <v>CEMIG | Ganho de Capital</v>
      </c>
      <c r="BV303" s="6" t="s">
        <v>94</v>
      </c>
      <c r="BW303" s="32">
        <v>0</v>
      </c>
      <c r="BX303" s="32">
        <v>0</v>
      </c>
      <c r="BY303" s="32">
        <v>61746</v>
      </c>
      <c r="BZ303" s="32">
        <v>0</v>
      </c>
      <c r="CA303" s="32">
        <v>0</v>
      </c>
      <c r="CB303" s="32">
        <v>0</v>
      </c>
      <c r="CC303" s="32">
        <v>0</v>
      </c>
      <c r="CD303" s="32">
        <v>0</v>
      </c>
      <c r="CE303" s="32">
        <v>0</v>
      </c>
      <c r="CF303" s="32">
        <v>0</v>
      </c>
      <c r="CG303" s="32">
        <v>0</v>
      </c>
      <c r="CH303" s="32">
        <v>0</v>
      </c>
      <c r="CI303" s="32">
        <v>0</v>
      </c>
      <c r="CJ303" s="32">
        <v>0</v>
      </c>
      <c r="CK303" s="32">
        <v>0</v>
      </c>
      <c r="CL303" s="32">
        <v>0</v>
      </c>
      <c r="CM303" s="32">
        <v>0</v>
      </c>
      <c r="CN303" s="32">
        <v>0</v>
      </c>
      <c r="CO303" s="32">
        <v>0</v>
      </c>
      <c r="CP303" s="32">
        <v>0</v>
      </c>
      <c r="CQ303" s="32">
        <v>0</v>
      </c>
      <c r="CR303" s="32">
        <v>0</v>
      </c>
      <c r="CS303" s="32">
        <v>0</v>
      </c>
      <c r="CT303" s="32">
        <v>0</v>
      </c>
      <c r="CU303" s="32">
        <v>0</v>
      </c>
      <c r="CV303" s="32">
        <v>0</v>
      </c>
    </row>
    <row r="304" spans="69:101" ht="19" customHeight="1" x14ac:dyDescent="0.35">
      <c r="BQ304" s="1" t="str">
        <f t="shared" si="12"/>
        <v>CEMIG | Ajuste a valor justo da participação anterior</v>
      </c>
      <c r="BV304" s="6" t="s">
        <v>95</v>
      </c>
      <c r="BW304" s="32">
        <v>0</v>
      </c>
      <c r="BX304" s="32">
        <v>0</v>
      </c>
      <c r="BY304" s="32">
        <v>0</v>
      </c>
      <c r="BZ304" s="32">
        <v>0</v>
      </c>
      <c r="CA304" s="32">
        <v>0</v>
      </c>
      <c r="CB304" s="32">
        <v>0</v>
      </c>
      <c r="CC304" s="32">
        <v>0</v>
      </c>
      <c r="CD304" s="32">
        <v>0</v>
      </c>
      <c r="CE304" s="32">
        <v>0</v>
      </c>
      <c r="CF304" s="32">
        <v>0</v>
      </c>
      <c r="CG304" s="32">
        <v>8638</v>
      </c>
      <c r="CH304" s="32">
        <v>0</v>
      </c>
      <c r="CI304" s="32">
        <v>0</v>
      </c>
      <c r="CJ304" s="32">
        <v>0</v>
      </c>
      <c r="CK304" s="32">
        <v>0</v>
      </c>
      <c r="CL304" s="32">
        <v>0</v>
      </c>
      <c r="CM304" s="32">
        <v>0</v>
      </c>
      <c r="CN304" s="32">
        <v>0</v>
      </c>
      <c r="CO304" s="32">
        <v>0</v>
      </c>
      <c r="CP304" s="32">
        <v>0</v>
      </c>
      <c r="CQ304" s="32">
        <v>0</v>
      </c>
      <c r="CR304" s="32">
        <v>0</v>
      </c>
      <c r="CS304" s="32">
        <v>0</v>
      </c>
      <c r="CT304" s="32">
        <v>0</v>
      </c>
      <c r="CU304" s="32">
        <v>0</v>
      </c>
      <c r="CV304" s="32">
        <v>0</v>
      </c>
    </row>
    <row r="305" spans="69:100" ht="19" customHeight="1" x14ac:dyDescent="0.35">
      <c r="BQ305" s="1" t="str">
        <f t="shared" si="12"/>
        <v>CEMIG | Resultado da Revisão Tarifária Periódica</v>
      </c>
      <c r="BV305" s="6" t="s">
        <v>96</v>
      </c>
      <c r="BW305" s="32">
        <v>0</v>
      </c>
      <c r="BX305" s="32">
        <v>0</v>
      </c>
      <c r="BY305" s="32">
        <v>0</v>
      </c>
      <c r="BZ305" s="32">
        <v>0</v>
      </c>
      <c r="CA305" s="32">
        <v>0</v>
      </c>
      <c r="CB305" s="32">
        <v>0</v>
      </c>
      <c r="CC305" s="32">
        <v>0</v>
      </c>
      <c r="CD305" s="32">
        <v>1520632</v>
      </c>
      <c r="CE305" s="32">
        <v>0</v>
      </c>
      <c r="CF305" s="32">
        <v>0</v>
      </c>
      <c r="CG305" s="32">
        <v>0</v>
      </c>
      <c r="CH305" s="32">
        <v>0</v>
      </c>
      <c r="CI305" s="32">
        <v>0</v>
      </c>
      <c r="CJ305" s="32">
        <v>0</v>
      </c>
      <c r="CK305" s="32">
        <v>0</v>
      </c>
      <c r="CL305" s="32">
        <v>0</v>
      </c>
      <c r="CM305" s="32">
        <v>0</v>
      </c>
      <c r="CN305" s="32">
        <v>0</v>
      </c>
      <c r="CO305" s="32">
        <v>-2108</v>
      </c>
      <c r="CP305" s="32">
        <v>0</v>
      </c>
      <c r="CQ305" s="32">
        <v>211247</v>
      </c>
      <c r="CR305" s="32">
        <v>5816</v>
      </c>
      <c r="CS305" s="32">
        <v>22405</v>
      </c>
      <c r="CT305" s="32">
        <v>0</v>
      </c>
      <c r="CU305" s="32">
        <v>479703</v>
      </c>
      <c r="CV305" s="32">
        <v>0</v>
      </c>
    </row>
    <row r="306" spans="69:100" ht="19" customHeight="1" x14ac:dyDescent="0.35">
      <c r="BQ306" s="1" t="str">
        <f t="shared" si="12"/>
        <v>CEMIG | Outros</v>
      </c>
      <c r="BV306" s="36" t="s">
        <v>23</v>
      </c>
      <c r="BW306" s="32">
        <v>0</v>
      </c>
      <c r="BX306" s="32">
        <v>0</v>
      </c>
      <c r="BY306" s="32">
        <v>0</v>
      </c>
      <c r="BZ306" s="32">
        <v>0</v>
      </c>
      <c r="CA306" s="32">
        <v>0</v>
      </c>
      <c r="CB306" s="32">
        <v>0</v>
      </c>
      <c r="CC306" s="32">
        <v>0</v>
      </c>
      <c r="CD306" s="32">
        <v>0</v>
      </c>
      <c r="CE306" s="32">
        <v>0</v>
      </c>
      <c r="CF306" s="32">
        <v>0</v>
      </c>
      <c r="CG306" s="32">
        <v>0</v>
      </c>
      <c r="CH306" s="32">
        <v>0</v>
      </c>
      <c r="CI306" s="32">
        <v>0</v>
      </c>
      <c r="CJ306" s="32">
        <v>0</v>
      </c>
      <c r="CK306" s="32">
        <v>-8641</v>
      </c>
      <c r="CL306" s="32">
        <v>8641</v>
      </c>
      <c r="CM306" s="32">
        <v>0</v>
      </c>
      <c r="CN306" s="32">
        <v>0</v>
      </c>
      <c r="CO306" s="32">
        <v>0</v>
      </c>
      <c r="CP306" s="32">
        <v>122208</v>
      </c>
      <c r="CQ306" s="32">
        <v>909601</v>
      </c>
      <c r="CR306" s="32">
        <v>0</v>
      </c>
      <c r="CS306" s="32">
        <v>0</v>
      </c>
      <c r="CT306" s="32">
        <v>0</v>
      </c>
      <c r="CU306" s="32">
        <v>0</v>
      </c>
      <c r="CV306" s="32">
        <v>51736</v>
      </c>
    </row>
    <row r="307" spans="69:100" ht="25" customHeight="1" x14ac:dyDescent="0.35">
      <c r="BQ307" s="1" t="str">
        <f t="shared" si="12"/>
        <v>CEMIG | RESULTADO DE EQUIVALÊNCIA PATRIMONIAL</v>
      </c>
      <c r="BV307" s="42" t="s">
        <v>8</v>
      </c>
      <c r="BW307" s="52">
        <v>91383</v>
      </c>
      <c r="BX307" s="52">
        <v>52325</v>
      </c>
      <c r="BY307" s="52">
        <v>40687</v>
      </c>
      <c r="BZ307" s="52">
        <v>40708</v>
      </c>
      <c r="CA307" s="52">
        <v>77418</v>
      </c>
      <c r="CB307" s="52">
        <v>42119</v>
      </c>
      <c r="CC307" s="52">
        <v>32845</v>
      </c>
      <c r="CD307" s="52">
        <v>61657</v>
      </c>
      <c r="CE307" s="52">
        <v>38711</v>
      </c>
      <c r="CF307" s="52">
        <v>90501</v>
      </c>
      <c r="CG307" s="52">
        <v>139255</v>
      </c>
      <c r="CH307" s="52">
        <v>70916</v>
      </c>
      <c r="CI307" s="52">
        <v>69281</v>
      </c>
      <c r="CJ307" s="52">
        <v>153041</v>
      </c>
      <c r="CK307" s="52">
        <v>74103</v>
      </c>
      <c r="CL307" s="52">
        <v>247544</v>
      </c>
      <c r="CM307" s="52">
        <v>336468</v>
      </c>
      <c r="CN307" s="52">
        <v>184428</v>
      </c>
      <c r="CO307" s="52">
        <v>-256722</v>
      </c>
      <c r="CP307" s="52">
        <v>287319</v>
      </c>
      <c r="CQ307" s="52">
        <v>32792</v>
      </c>
      <c r="CR307" s="52">
        <v>118687</v>
      </c>
      <c r="CS307" s="52">
        <v>94400</v>
      </c>
      <c r="CT307" s="52">
        <v>97822</v>
      </c>
      <c r="CU307" s="52">
        <v>82534</v>
      </c>
      <c r="CV307" s="52">
        <v>81942</v>
      </c>
    </row>
    <row r="308" spans="69:100" ht="25" customHeight="1" x14ac:dyDescent="0.35">
      <c r="BV308" s="42" t="s">
        <v>9</v>
      </c>
      <c r="BW308" s="52">
        <f t="shared" ref="BW308:CV308" si="14">SUM(BW257,BW278,BW307)</f>
        <v>1829246</v>
      </c>
      <c r="BX308" s="52">
        <f t="shared" si="14"/>
        <v>1387355</v>
      </c>
      <c r="BY308" s="52">
        <f t="shared" si="14"/>
        <v>2523270</v>
      </c>
      <c r="BZ308" s="52">
        <f t="shared" si="14"/>
        <v>1122591</v>
      </c>
      <c r="CA308" s="52">
        <f>SUM(CA257,CA278,CA307)</f>
        <v>1690677</v>
      </c>
      <c r="CB308" s="52">
        <f t="shared" si="14"/>
        <v>1463398</v>
      </c>
      <c r="CC308" s="52">
        <f t="shared" si="14"/>
        <v>1550270</v>
      </c>
      <c r="CD308" s="52">
        <f t="shared" si="14"/>
        <v>4612166</v>
      </c>
      <c r="CE308" s="52">
        <f t="shared" si="14"/>
        <v>2032804</v>
      </c>
      <c r="CF308" s="52">
        <f t="shared" si="14"/>
        <v>1682692</v>
      </c>
      <c r="CG308" s="52">
        <f t="shared" si="14"/>
        <v>2100654</v>
      </c>
      <c r="CH308" s="52">
        <f t="shared" si="14"/>
        <v>1694496</v>
      </c>
      <c r="CI308" s="52">
        <f t="shared" si="14"/>
        <v>1575671</v>
      </c>
      <c r="CJ308" s="52">
        <f t="shared" si="14"/>
        <v>1859305</v>
      </c>
      <c r="CK308" s="52">
        <f t="shared" si="14"/>
        <v>2486914</v>
      </c>
      <c r="CL308" s="52">
        <f t="shared" si="14"/>
        <v>1501685</v>
      </c>
      <c r="CM308" s="52">
        <f t="shared" si="14"/>
        <v>65674</v>
      </c>
      <c r="CN308" s="52">
        <f t="shared" si="14"/>
        <v>1632904</v>
      </c>
      <c r="CO308" s="52">
        <f t="shared" si="14"/>
        <v>1369139</v>
      </c>
      <c r="CP308" s="52">
        <f t="shared" si="14"/>
        <v>1626677</v>
      </c>
      <c r="CQ308" s="52">
        <f t="shared" si="14"/>
        <v>2348457</v>
      </c>
      <c r="CR308" s="52">
        <f t="shared" si="14"/>
        <v>1606898</v>
      </c>
      <c r="CS308" s="52">
        <f t="shared" si="14"/>
        <v>1307737</v>
      </c>
      <c r="CT308" s="52">
        <f t="shared" si="14"/>
        <v>1229839</v>
      </c>
      <c r="CU308" s="52">
        <f t="shared" si="14"/>
        <v>1620351</v>
      </c>
      <c r="CV308" s="52">
        <f t="shared" si="14"/>
        <v>548369</v>
      </c>
    </row>
    <row r="309" spans="69:100" ht="25" customHeight="1" x14ac:dyDescent="0.35">
      <c r="BV309" s="42" t="s">
        <v>10</v>
      </c>
      <c r="BW309" s="52">
        <f>IFERROR(SUM(BW310:BW311),0)</f>
        <v>-795905</v>
      </c>
      <c r="BX309" s="52">
        <f>IFERROR(SUM(BX310:BX311),0)</f>
        <v>-338424</v>
      </c>
      <c r="BY309" s="52">
        <f>IFERROR(SUM(BY310:BY311),0)</f>
        <v>-290431</v>
      </c>
      <c r="BZ309" s="52">
        <f>IFERROR(SUM(BZ310:BZ311),0)</f>
        <v>-276062</v>
      </c>
      <c r="CA309" s="52">
        <f t="shared" ref="CA309:CK309" si="15">IFERROR(SUM(CA310:CA311),0)</f>
        <v>-312587</v>
      </c>
      <c r="CB309" s="52">
        <f t="shared" si="15"/>
        <v>-249631</v>
      </c>
      <c r="CC309" s="52">
        <f t="shared" si="15"/>
        <v>-396380</v>
      </c>
      <c r="CD309" s="52">
        <f t="shared" si="15"/>
        <v>-61545</v>
      </c>
      <c r="CE309" s="52">
        <f t="shared" si="15"/>
        <v>118119</v>
      </c>
      <c r="CF309" s="52">
        <f t="shared" si="15"/>
        <v>-180986</v>
      </c>
      <c r="CG309" s="52">
        <f t="shared" si="15"/>
        <v>-98010</v>
      </c>
      <c r="CH309" s="52">
        <f t="shared" si="15"/>
        <v>-214852</v>
      </c>
      <c r="CI309" s="52">
        <f t="shared" si="15"/>
        <v>39810</v>
      </c>
      <c r="CJ309" s="52">
        <f t="shared" si="15"/>
        <v>-105914</v>
      </c>
      <c r="CK309" s="52">
        <f t="shared" si="15"/>
        <v>-900374</v>
      </c>
      <c r="CL309" s="52">
        <f>IFERROR(SUM(CL310:CL311),0)</f>
        <v>-109461</v>
      </c>
      <c r="CM309" s="52">
        <f t="shared" ref="CM309" si="16">IFERROR(SUM(CM310:CM311),0)</f>
        <v>-870949</v>
      </c>
      <c r="CN309" s="52">
        <f t="shared" ref="CN309" si="17">IFERROR(SUM(CN310:CN311),0)</f>
        <v>314163</v>
      </c>
      <c r="CO309" s="52">
        <f t="shared" ref="CO309" si="18">IFERROR(SUM(CO310:CO311),0)</f>
        <v>-310811</v>
      </c>
      <c r="CP309" s="52">
        <f t="shared" ref="CP309" si="19">IFERROR(SUM(CP310:CP311),0)</f>
        <v>-1155490</v>
      </c>
      <c r="CQ309" s="52">
        <f t="shared" ref="CQ309" si="20">IFERROR(SUM(CQ310:CQ311),0)</f>
        <v>478528</v>
      </c>
      <c r="CR309" s="52">
        <f t="shared" ref="CR309" si="21">IFERROR(SUM(CR310:CR311),0)</f>
        <v>-1265220</v>
      </c>
      <c r="CS309" s="52">
        <f t="shared" ref="CS309" si="22">IFERROR(SUM(CS310:CS311),0)</f>
        <v>353223</v>
      </c>
      <c r="CT309" s="52">
        <f t="shared" ref="CT309" si="23">IFERROR(SUM(CT310:CT311),0)</f>
        <v>-496619</v>
      </c>
      <c r="CU309" s="52">
        <f t="shared" ref="CU309" si="24">IFERROR(SUM(CU310:CU311),0)</f>
        <v>-35317</v>
      </c>
      <c r="CV309" s="52">
        <f>IFERROR(SUM(CV310:CV311),0)</f>
        <v>-726746</v>
      </c>
    </row>
    <row r="310" spans="69:100" ht="19" customHeight="1" x14ac:dyDescent="0.35">
      <c r="BQ310" s="1" t="str">
        <f t="shared" ref="BQ310:BQ311" si="25">_xlfn.CONCAT($BV$254," | ",BV310)</f>
        <v>CEMIG | Receitas financeiras</v>
      </c>
      <c r="BV310" s="36" t="s">
        <v>11</v>
      </c>
      <c r="BW310" s="32">
        <v>290189</v>
      </c>
      <c r="BX310" s="32">
        <v>257960</v>
      </c>
      <c r="BY310" s="32">
        <v>250258</v>
      </c>
      <c r="BZ310" s="32">
        <v>256943</v>
      </c>
      <c r="CA310" s="32">
        <v>302444</v>
      </c>
      <c r="CB310" s="32">
        <v>193537</v>
      </c>
      <c r="CC310" s="32">
        <v>223712</v>
      </c>
      <c r="CD310" s="32">
        <v>262565</v>
      </c>
      <c r="CE310" s="32">
        <v>725474</v>
      </c>
      <c r="CF310" s="32">
        <v>218245</v>
      </c>
      <c r="CG310" s="32">
        <v>84486</v>
      </c>
      <c r="CH310" s="32">
        <v>345678</v>
      </c>
      <c r="CI310" s="32">
        <v>512131</v>
      </c>
      <c r="CJ310" s="32">
        <v>329784</v>
      </c>
      <c r="CK310" s="32">
        <v>-383910</v>
      </c>
      <c r="CL310" s="32">
        <v>411748</v>
      </c>
      <c r="CM310" s="32">
        <v>362931</v>
      </c>
      <c r="CN310" s="32">
        <v>1109025</v>
      </c>
      <c r="CO310" s="32">
        <v>-878361</v>
      </c>
      <c r="CP310" s="32">
        <v>278827</v>
      </c>
      <c r="CQ310" s="32">
        <v>1288425</v>
      </c>
      <c r="CR310" s="32">
        <v>154415</v>
      </c>
      <c r="CS310" s="32">
        <v>127224</v>
      </c>
      <c r="CT310" s="32">
        <v>165368</v>
      </c>
      <c r="CU310" s="32">
        <v>670078</v>
      </c>
      <c r="CV310" s="32">
        <v>1482735</v>
      </c>
    </row>
    <row r="311" spans="69:100" ht="19" customHeight="1" x14ac:dyDescent="0.35">
      <c r="BQ311" s="1" t="str">
        <f t="shared" si="25"/>
        <v>CEMIG | Despesas financeiras</v>
      </c>
      <c r="BV311" s="36" t="s">
        <v>12</v>
      </c>
      <c r="BW311" s="32">
        <v>-1086094</v>
      </c>
      <c r="BX311" s="32">
        <v>-596384</v>
      </c>
      <c r="BY311" s="32">
        <v>-540689</v>
      </c>
      <c r="BZ311" s="32">
        <v>-533005</v>
      </c>
      <c r="CA311" s="32">
        <v>-615031</v>
      </c>
      <c r="CB311" s="32">
        <v>-443168</v>
      </c>
      <c r="CC311" s="32">
        <v>-620092</v>
      </c>
      <c r="CD311" s="32">
        <v>-324110</v>
      </c>
      <c r="CE311" s="32">
        <v>-607355</v>
      </c>
      <c r="CF311" s="32">
        <v>-399231</v>
      </c>
      <c r="CG311" s="32">
        <v>-182496</v>
      </c>
      <c r="CH311" s="32">
        <v>-560530</v>
      </c>
      <c r="CI311" s="32">
        <v>-472321</v>
      </c>
      <c r="CJ311" s="32">
        <v>-435698</v>
      </c>
      <c r="CK311" s="32">
        <v>-516464</v>
      </c>
      <c r="CL311" s="32">
        <v>-521209</v>
      </c>
      <c r="CM311" s="32">
        <v>-1233880</v>
      </c>
      <c r="CN311" s="32">
        <v>-794862</v>
      </c>
      <c r="CO311" s="32">
        <v>567550</v>
      </c>
      <c r="CP311" s="32">
        <v>-1434317</v>
      </c>
      <c r="CQ311" s="32">
        <v>-809897</v>
      </c>
      <c r="CR311" s="32">
        <v>-1419635</v>
      </c>
      <c r="CS311" s="32">
        <v>225999</v>
      </c>
      <c r="CT311" s="32">
        <v>-661987</v>
      </c>
      <c r="CU311" s="32">
        <v>-705395</v>
      </c>
      <c r="CV311" s="32">
        <v>-2209481</v>
      </c>
    </row>
    <row r="312" spans="69:100" ht="25" customHeight="1" x14ac:dyDescent="0.35">
      <c r="BV312" s="42" t="s">
        <v>13</v>
      </c>
      <c r="BW312" s="52">
        <f>IFERROR(SUM(BW308:BW309),0)</f>
        <v>1033341</v>
      </c>
      <c r="BX312" s="52">
        <f>IFERROR(SUM(BX308:BX309),0)</f>
        <v>1048931</v>
      </c>
      <c r="BY312" s="52">
        <f>IFERROR(SUM(BY308:BY309),0)</f>
        <v>2232839</v>
      </c>
      <c r="BZ312" s="52">
        <f>IFERROR(SUM(BZ308:BZ309),0)</f>
        <v>846529</v>
      </c>
      <c r="CA312" s="52">
        <f t="shared" ref="CA312:CJ312" si="26">IFERROR(SUM(CA308:CA309),0)</f>
        <v>1378090</v>
      </c>
      <c r="CB312" s="52">
        <f t="shared" si="26"/>
        <v>1213767</v>
      </c>
      <c r="CC312" s="52">
        <f t="shared" si="26"/>
        <v>1153890</v>
      </c>
      <c r="CD312" s="52">
        <f t="shared" si="26"/>
        <v>4550621</v>
      </c>
      <c r="CE312" s="52">
        <f t="shared" si="26"/>
        <v>2150923</v>
      </c>
      <c r="CF312" s="52">
        <f t="shared" si="26"/>
        <v>1501706</v>
      </c>
      <c r="CG312" s="52">
        <f t="shared" si="26"/>
        <v>2002644</v>
      </c>
      <c r="CH312" s="52">
        <f t="shared" si="26"/>
        <v>1479644</v>
      </c>
      <c r="CI312" s="52">
        <f t="shared" si="26"/>
        <v>1615481</v>
      </c>
      <c r="CJ312" s="52">
        <f t="shared" si="26"/>
        <v>1753391</v>
      </c>
      <c r="CK312" s="52">
        <f>IFERROR(SUM(CK308:CK309),0)</f>
        <v>1586540</v>
      </c>
      <c r="CL312" s="52">
        <f>IFERROR(SUM(CL308:CL309),0)</f>
        <v>1392224</v>
      </c>
      <c r="CM312" s="52">
        <f t="shared" ref="CM312:CQ312" si="27">IFERROR(SUM(CM308:CM309),0)</f>
        <v>-805275</v>
      </c>
      <c r="CN312" s="52">
        <f t="shared" si="27"/>
        <v>1947067</v>
      </c>
      <c r="CO312" s="52">
        <f t="shared" si="27"/>
        <v>1058328</v>
      </c>
      <c r="CP312" s="52">
        <f t="shared" si="27"/>
        <v>471187</v>
      </c>
      <c r="CQ312" s="52">
        <f t="shared" si="27"/>
        <v>2826985</v>
      </c>
      <c r="CR312" s="52">
        <f t="shared" ref="CR312:CU312" si="28">IFERROR(SUM(CR308:CR309),0)</f>
        <v>341678</v>
      </c>
      <c r="CS312" s="52">
        <f t="shared" si="28"/>
        <v>1660960</v>
      </c>
      <c r="CT312" s="52">
        <f t="shared" si="28"/>
        <v>733220</v>
      </c>
      <c r="CU312" s="52">
        <f t="shared" si="28"/>
        <v>1585034</v>
      </c>
      <c r="CV312" s="52">
        <f>IFERROR(SUM(CV308:CV309),0)</f>
        <v>-178377</v>
      </c>
    </row>
    <row r="313" spans="69:100" ht="25" customHeight="1" x14ac:dyDescent="0.35">
      <c r="BV313" s="18" t="s">
        <v>97</v>
      </c>
      <c r="BW313" s="52">
        <f>IFERROR(SUM(BW314:BW315),0)</f>
        <v>-87897</v>
      </c>
      <c r="BX313" s="52">
        <f>IFERROR(SUM(BX314:BX315),0)</f>
        <v>-69952</v>
      </c>
      <c r="BY313" s="52">
        <f>IFERROR(SUM(BY314:BY315),0)</f>
        <v>-356985</v>
      </c>
      <c r="BZ313" s="52">
        <f>IFERROR(SUM(BZ314:BZ315),0)</f>
        <v>-49787</v>
      </c>
      <c r="CA313" s="52">
        <f t="shared" ref="CA313:CJ313" si="29">IFERROR(SUM(CA314:CA315),0)</f>
        <v>-189809</v>
      </c>
      <c r="CB313" s="52">
        <f t="shared" si="29"/>
        <v>-175026</v>
      </c>
      <c r="CC313" s="52">
        <f t="shared" si="29"/>
        <v>-156278</v>
      </c>
      <c r="CD313" s="52">
        <f t="shared" si="29"/>
        <v>-1270423</v>
      </c>
      <c r="CE313" s="52">
        <f t="shared" si="29"/>
        <v>-462337</v>
      </c>
      <c r="CF313" s="52">
        <f t="shared" si="29"/>
        <v>-348815</v>
      </c>
      <c r="CG313" s="52">
        <f t="shared" si="29"/>
        <v>-116704</v>
      </c>
      <c r="CH313" s="52">
        <f t="shared" si="29"/>
        <v>-242337</v>
      </c>
      <c r="CI313" s="52">
        <f t="shared" si="29"/>
        <v>-370099</v>
      </c>
      <c r="CJ313" s="52">
        <f t="shared" si="29"/>
        <v>-355185</v>
      </c>
      <c r="CK313" s="52">
        <f>IFERROR(SUM(CK314:CK315),0)</f>
        <v>-179973</v>
      </c>
      <c r="CL313" s="52">
        <f>IFERROR(SUM(CL314:CL315),0)</f>
        <v>-209871</v>
      </c>
      <c r="CM313" s="52">
        <f t="shared" ref="CM313" si="30">IFERROR(SUM(CM314:CM315),0)</f>
        <v>855151</v>
      </c>
      <c r="CN313" s="52">
        <f t="shared" ref="CN313" si="31">IFERROR(SUM(CN314:CN315),0)</f>
        <v>-491496</v>
      </c>
      <c r="CO313" s="52">
        <f t="shared" ref="CO313" si="32">IFERROR(SUM(CO314:CO315),0)</f>
        <v>-95926</v>
      </c>
      <c r="CP313" s="52">
        <f t="shared" ref="CP313" si="33">IFERROR(SUM(CP314:CP315),0)</f>
        <v>-49710</v>
      </c>
      <c r="CQ313" s="52">
        <f t="shared" ref="CQ313" si="34">IFERROR(SUM(CQ314:CQ315),0)</f>
        <v>-880346</v>
      </c>
      <c r="CR313" s="52">
        <f t="shared" ref="CR313" si="35">IFERROR(SUM(CR314:CR315),0)</f>
        <v>80673</v>
      </c>
      <c r="CS313" s="52">
        <f t="shared" ref="CS313" si="36">IFERROR(SUM(CS314:CS315),0)</f>
        <v>-388655</v>
      </c>
      <c r="CT313" s="52">
        <f t="shared" ref="CT313" si="37">IFERROR(SUM(CT314:CT315),0)</f>
        <v>-153921</v>
      </c>
      <c r="CU313" s="52">
        <f t="shared" ref="CU313" si="38">IFERROR(SUM(CU314:CU315),0)</f>
        <v>-503384</v>
      </c>
      <c r="CV313" s="52">
        <f>IFERROR(SUM(CV314:CV315),0)</f>
        <v>110244</v>
      </c>
    </row>
    <row r="314" spans="69:100" ht="19" customHeight="1" x14ac:dyDescent="0.35">
      <c r="BQ314" s="1" t="str">
        <f t="shared" ref="BQ314:BQ315" si="39">_xlfn.CONCAT($BV$254," | ",BV314)</f>
        <v>CEMIG | Imposto de renda e contribuição social</v>
      </c>
      <c r="BV314" s="36" t="s">
        <v>15</v>
      </c>
      <c r="BW314" s="32">
        <v>-83701</v>
      </c>
      <c r="BX314" s="32">
        <v>-130178</v>
      </c>
      <c r="BY314" s="50">
        <v>86782</v>
      </c>
      <c r="BZ314" s="50">
        <v>-140680</v>
      </c>
      <c r="CA314" s="50">
        <v>-249538</v>
      </c>
      <c r="CB314" s="50">
        <v>-258686</v>
      </c>
      <c r="CC314" s="50">
        <v>-308974</v>
      </c>
      <c r="CD314" s="50">
        <v>-776628</v>
      </c>
      <c r="CE314" s="50">
        <v>-149309</v>
      </c>
      <c r="CF314" s="50">
        <v>-259932</v>
      </c>
      <c r="CG314" s="50">
        <v>-198694</v>
      </c>
      <c r="CH314" s="50">
        <v>-181282</v>
      </c>
      <c r="CI314" s="50">
        <v>-163698</v>
      </c>
      <c r="CJ314" s="50">
        <v>-399333</v>
      </c>
      <c r="CK314" s="50">
        <v>-295754</v>
      </c>
      <c r="CL314" s="50">
        <v>-284047</v>
      </c>
      <c r="CM314" s="50">
        <v>203225</v>
      </c>
      <c r="CN314" s="50">
        <v>-573914</v>
      </c>
      <c r="CO314" s="50">
        <v>-219603</v>
      </c>
      <c r="CP314" s="50">
        <v>-71213</v>
      </c>
      <c r="CQ314" s="50">
        <v>-601560</v>
      </c>
      <c r="CR314" s="50">
        <v>-263706</v>
      </c>
      <c r="CS314" s="50">
        <v>-116586</v>
      </c>
      <c r="CT314" s="50">
        <v>-172776</v>
      </c>
      <c r="CU314" s="50">
        <v>-198803</v>
      </c>
      <c r="CV314" s="50">
        <v>-195516</v>
      </c>
    </row>
    <row r="315" spans="69:100" ht="19" customHeight="1" x14ac:dyDescent="0.35">
      <c r="BQ315" s="1" t="str">
        <f t="shared" si="39"/>
        <v>CEMIG | Imposto de renda e contribuição social diferidos</v>
      </c>
      <c r="BV315" s="36" t="s">
        <v>16</v>
      </c>
      <c r="BW315" s="32">
        <v>-4196</v>
      </c>
      <c r="BX315" s="32">
        <v>60226</v>
      </c>
      <c r="BY315" s="50">
        <v>-443767</v>
      </c>
      <c r="BZ315" s="50">
        <v>90893</v>
      </c>
      <c r="CA315" s="50">
        <v>59729</v>
      </c>
      <c r="CB315" s="50">
        <v>83660</v>
      </c>
      <c r="CC315" s="50">
        <v>152696</v>
      </c>
      <c r="CD315" s="50">
        <v>-493795</v>
      </c>
      <c r="CE315" s="50">
        <v>-313028</v>
      </c>
      <c r="CF315" s="50">
        <v>-88883</v>
      </c>
      <c r="CG315" s="50">
        <v>81990</v>
      </c>
      <c r="CH315" s="50">
        <v>-61055</v>
      </c>
      <c r="CI315" s="50">
        <v>-206401</v>
      </c>
      <c r="CJ315" s="50">
        <v>44148</v>
      </c>
      <c r="CK315" s="50">
        <v>115781</v>
      </c>
      <c r="CL315" s="50">
        <v>74176</v>
      </c>
      <c r="CM315" s="50">
        <v>651926</v>
      </c>
      <c r="CN315" s="50">
        <v>82418</v>
      </c>
      <c r="CO315" s="50">
        <v>123677</v>
      </c>
      <c r="CP315" s="50">
        <v>21503</v>
      </c>
      <c r="CQ315" s="50">
        <v>-278786</v>
      </c>
      <c r="CR315" s="50">
        <v>344379</v>
      </c>
      <c r="CS315" s="50">
        <v>-272069</v>
      </c>
      <c r="CT315" s="50">
        <v>18855</v>
      </c>
      <c r="CU315" s="50">
        <v>-304581</v>
      </c>
      <c r="CV315" s="50">
        <v>305760</v>
      </c>
    </row>
    <row r="316" spans="69:100" ht="25" customHeight="1" x14ac:dyDescent="0.35">
      <c r="BV316" s="42" t="s">
        <v>17</v>
      </c>
      <c r="BW316" s="53">
        <f>IFERROR(SUM(BW312:BW313),0)</f>
        <v>945444</v>
      </c>
      <c r="BX316" s="53">
        <f>IFERROR(SUM(BX312:BX313),0)</f>
        <v>978979</v>
      </c>
      <c r="BY316" s="53">
        <f>IFERROR(SUM(BY312:BY313),0)</f>
        <v>1875854</v>
      </c>
      <c r="BZ316" s="53">
        <f t="shared" ref="BZ316:CV316" si="40">IFERROR(SUM(BZ312:BZ313),0)</f>
        <v>796742</v>
      </c>
      <c r="CA316" s="53">
        <f t="shared" si="40"/>
        <v>1188281</v>
      </c>
      <c r="CB316" s="53">
        <f t="shared" si="40"/>
        <v>1038741</v>
      </c>
      <c r="CC316" s="53">
        <f t="shared" si="40"/>
        <v>997612</v>
      </c>
      <c r="CD316" s="53">
        <f t="shared" si="40"/>
        <v>3280198</v>
      </c>
      <c r="CE316" s="53">
        <f t="shared" si="40"/>
        <v>1688586</v>
      </c>
      <c r="CF316" s="53">
        <f t="shared" si="40"/>
        <v>1152891</v>
      </c>
      <c r="CG316" s="53">
        <f t="shared" si="40"/>
        <v>1885940</v>
      </c>
      <c r="CH316" s="53">
        <f t="shared" si="40"/>
        <v>1237307</v>
      </c>
      <c r="CI316" s="53">
        <f t="shared" si="40"/>
        <v>1245382</v>
      </c>
      <c r="CJ316" s="53">
        <f t="shared" si="40"/>
        <v>1398206</v>
      </c>
      <c r="CK316" s="53">
        <f>IFERROR(SUM(CK312:CK313),0)</f>
        <v>1406567</v>
      </c>
      <c r="CL316" s="53">
        <f t="shared" si="40"/>
        <v>1182353</v>
      </c>
      <c r="CM316" s="53">
        <f t="shared" si="40"/>
        <v>49876</v>
      </c>
      <c r="CN316" s="53">
        <f t="shared" si="40"/>
        <v>1455571</v>
      </c>
      <c r="CO316" s="53">
        <f t="shared" si="40"/>
        <v>962402</v>
      </c>
      <c r="CP316" s="53">
        <f t="shared" si="40"/>
        <v>421477</v>
      </c>
      <c r="CQ316" s="53">
        <f t="shared" si="40"/>
        <v>1946639</v>
      </c>
      <c r="CR316" s="53">
        <f t="shared" si="40"/>
        <v>422351</v>
      </c>
      <c r="CS316" s="53">
        <f t="shared" si="40"/>
        <v>1272305</v>
      </c>
      <c r="CT316" s="53">
        <f t="shared" si="40"/>
        <v>579299</v>
      </c>
      <c r="CU316" s="53">
        <f t="shared" si="40"/>
        <v>1081650</v>
      </c>
      <c r="CV316" s="53">
        <f t="shared" si="40"/>
        <v>-68133</v>
      </c>
    </row>
    <row r="317" spans="69:100" ht="19" customHeight="1" x14ac:dyDescent="0.35">
      <c r="BQ317" s="1" t="str">
        <f>_xlfn.CONCAT($BV$254," | ",BV317)</f>
        <v>CEMIG | Participação dos acionistas controladores</v>
      </c>
      <c r="BV317" s="54" t="s">
        <v>18</v>
      </c>
      <c r="BW317" s="32">
        <v>945032</v>
      </c>
      <c r="BX317" s="32">
        <v>978545</v>
      </c>
      <c r="BY317" s="55">
        <v>1875261</v>
      </c>
      <c r="BZ317" s="55">
        <v>796267</v>
      </c>
      <c r="CA317" s="55">
        <v>1187633</v>
      </c>
      <c r="CB317" s="55">
        <v>1038248</v>
      </c>
      <c r="CC317" s="55">
        <v>997131</v>
      </c>
      <c r="CD317" s="55">
        <v>3279634</v>
      </c>
      <c r="CE317" s="55">
        <v>1687993</v>
      </c>
      <c r="CF317" s="55">
        <v>1152388</v>
      </c>
      <c r="CG317" s="55">
        <v>1885344</v>
      </c>
      <c r="CH317" s="55">
        <v>1236708</v>
      </c>
      <c r="CI317" s="55">
        <v>1244683</v>
      </c>
      <c r="CJ317" s="55">
        <v>1397538</v>
      </c>
      <c r="CK317" s="55">
        <v>1405736</v>
      </c>
      <c r="CL317" s="55">
        <v>1181868</v>
      </c>
      <c r="CM317" s="55">
        <v>49520</v>
      </c>
      <c r="CN317" s="55">
        <v>1455189</v>
      </c>
      <c r="CO317" s="55">
        <v>962001</v>
      </c>
      <c r="CP317" s="55">
        <v>421051</v>
      </c>
      <c r="CQ317" s="55">
        <v>1946237</v>
      </c>
      <c r="CR317" s="55">
        <v>422032</v>
      </c>
      <c r="CS317" s="55">
        <v>1272063</v>
      </c>
      <c r="CT317" s="55">
        <v>578987</v>
      </c>
      <c r="CU317" s="55">
        <v>1081462</v>
      </c>
      <c r="CV317" s="55">
        <v>-68402</v>
      </c>
    </row>
    <row r="318" spans="69:100" ht="19" customHeight="1" x14ac:dyDescent="0.35">
      <c r="BQ318" s="1" t="str">
        <f>_xlfn.CONCAT($BV$254," | ",BV318)</f>
        <v>CEMIG | Participação dos acionistas não-controladores</v>
      </c>
      <c r="BV318" s="54" t="s">
        <v>19</v>
      </c>
      <c r="BW318" s="55">
        <v>412</v>
      </c>
      <c r="BX318" s="55">
        <v>434</v>
      </c>
      <c r="BY318" s="55">
        <v>593</v>
      </c>
      <c r="BZ318" s="55">
        <v>475</v>
      </c>
      <c r="CA318" s="55">
        <v>648</v>
      </c>
      <c r="CB318" s="55">
        <v>492</v>
      </c>
      <c r="CC318" s="55">
        <v>482</v>
      </c>
      <c r="CD318" s="55">
        <v>563</v>
      </c>
      <c r="CE318" s="55">
        <v>593</v>
      </c>
      <c r="CF318" s="55">
        <v>503</v>
      </c>
      <c r="CG318" s="55">
        <v>596</v>
      </c>
      <c r="CH318" s="55">
        <v>599</v>
      </c>
      <c r="CI318" s="55">
        <v>699</v>
      </c>
      <c r="CJ318" s="55">
        <v>668</v>
      </c>
      <c r="CK318" s="55">
        <v>831</v>
      </c>
      <c r="CL318" s="55">
        <v>485</v>
      </c>
      <c r="CM318" s="55">
        <v>356</v>
      </c>
      <c r="CN318" s="55">
        <v>382</v>
      </c>
      <c r="CO318" s="55">
        <v>401</v>
      </c>
      <c r="CP318" s="55">
        <v>426</v>
      </c>
      <c r="CQ318" s="55">
        <v>402</v>
      </c>
      <c r="CR318" s="55">
        <v>319</v>
      </c>
      <c r="CS318" s="55">
        <v>242</v>
      </c>
      <c r="CT318" s="55">
        <v>312</v>
      </c>
      <c r="CU318" s="55">
        <v>188</v>
      </c>
      <c r="CV318" s="55">
        <v>269</v>
      </c>
    </row>
    <row r="319" spans="69:100" ht="25" customHeight="1" x14ac:dyDescent="0.35">
      <c r="BQ319" s="1" t="str">
        <f>_xlfn.CONCAT($BV$254," | ",BV319)</f>
        <v>CEMIG | LUCRO BÁSICO E DILUÍDO POR AÇÃO PREFERENCIAL</v>
      </c>
      <c r="BV319" s="56" t="s">
        <v>20</v>
      </c>
      <c r="BW319" s="57">
        <v>0.33</v>
      </c>
      <c r="BX319" s="57">
        <v>0.34</v>
      </c>
      <c r="BY319" s="57">
        <v>0.64999999999999991</v>
      </c>
      <c r="BZ319" s="57">
        <v>0.28000000000000003</v>
      </c>
      <c r="CA319" s="57">
        <v>0.42</v>
      </c>
      <c r="CB319" s="57">
        <v>0.36</v>
      </c>
      <c r="CC319" s="57">
        <v>0.23000000000000043</v>
      </c>
      <c r="CD319" s="57">
        <v>1.1499999999999999</v>
      </c>
      <c r="CE319" s="57">
        <v>0.59</v>
      </c>
      <c r="CF319" s="57">
        <v>0.52</v>
      </c>
      <c r="CG319" s="57">
        <v>0.23999999999999977</v>
      </c>
      <c r="CH319" s="57">
        <v>0.56000000000000005</v>
      </c>
      <c r="CI319" s="57">
        <v>0.56999999999999995</v>
      </c>
      <c r="CJ319" s="57">
        <v>0.64</v>
      </c>
      <c r="CK319" s="57">
        <v>0.6399999999999999</v>
      </c>
      <c r="CL319" s="57">
        <v>0.54</v>
      </c>
      <c r="CM319" s="57">
        <v>0.02</v>
      </c>
      <c r="CN319" s="57">
        <v>0.66</v>
      </c>
      <c r="CO319" s="57">
        <v>0.1100000000000001</v>
      </c>
      <c r="CP319" s="57">
        <v>0.25</v>
      </c>
      <c r="CQ319" s="57">
        <v>1.1499999999999999</v>
      </c>
      <c r="CR319" s="57">
        <v>0.19</v>
      </c>
      <c r="CS319" s="57">
        <v>0.75</v>
      </c>
      <c r="CT319" s="57">
        <v>0.34</v>
      </c>
      <c r="CU319" s="57">
        <v>0.64</v>
      </c>
      <c r="CV319" s="57">
        <v>-0.04</v>
      </c>
    </row>
    <row r="320" spans="69:100" ht="25" customHeight="1" thickBot="1" x14ac:dyDescent="0.4">
      <c r="BQ320" s="1" t="str">
        <f>_xlfn.CONCAT($BV$254," | ",BV320)</f>
        <v>CEMIG | LUCRO BÁSICO E DILUÍDO POR AÇÃO ORDINÁRIA</v>
      </c>
      <c r="BV320" s="68" t="s">
        <v>21</v>
      </c>
      <c r="BW320" s="69">
        <v>0.33</v>
      </c>
      <c r="BX320" s="69">
        <v>0.34</v>
      </c>
      <c r="BY320" s="69">
        <v>0.64999999999999991</v>
      </c>
      <c r="BZ320" s="69">
        <v>0.28000000000000003</v>
      </c>
      <c r="CA320" s="69">
        <v>0.42</v>
      </c>
      <c r="CB320" s="69">
        <v>0.36</v>
      </c>
      <c r="CC320" s="69">
        <v>0.23000000000000043</v>
      </c>
      <c r="CD320" s="69">
        <v>1.1499999999999999</v>
      </c>
      <c r="CE320" s="69">
        <v>0.59</v>
      </c>
      <c r="CF320" s="69">
        <v>0.52</v>
      </c>
      <c r="CG320" s="69">
        <v>0.23999999999999977</v>
      </c>
      <c r="CH320" s="69">
        <v>0.56000000000000005</v>
      </c>
      <c r="CI320" s="69">
        <v>0.56999999999999995</v>
      </c>
      <c r="CJ320" s="69">
        <v>0.64</v>
      </c>
      <c r="CK320" s="69">
        <v>0.6399999999999999</v>
      </c>
      <c r="CL320" s="69">
        <v>0.54</v>
      </c>
      <c r="CM320" s="69">
        <v>0.02</v>
      </c>
      <c r="CN320" s="69">
        <v>0.66</v>
      </c>
      <c r="CO320" s="69">
        <v>0.1100000000000001</v>
      </c>
      <c r="CP320" s="69">
        <v>0.25</v>
      </c>
      <c r="CQ320" s="69">
        <v>1.1499999999999999</v>
      </c>
      <c r="CR320" s="69">
        <v>0.19</v>
      </c>
      <c r="CS320" s="69">
        <v>0.75</v>
      </c>
      <c r="CT320" s="69">
        <v>0.34</v>
      </c>
      <c r="CU320" s="69">
        <v>0.64</v>
      </c>
      <c r="CV320" s="69">
        <v>-0.04</v>
      </c>
    </row>
    <row r="321" spans="69:100" ht="23.15" customHeight="1" x14ac:dyDescent="0.35">
      <c r="BV321" s="196"/>
      <c r="BW321" s="196"/>
      <c r="BX321" s="196"/>
      <c r="BY321" s="370"/>
      <c r="BZ321" s="370"/>
      <c r="CA321" s="370"/>
      <c r="CB321" s="370"/>
      <c r="CC321" s="370"/>
      <c r="CD321" s="370"/>
      <c r="CE321" s="370"/>
      <c r="CF321" s="370"/>
      <c r="CG321" s="370"/>
      <c r="CH321" s="370"/>
      <c r="CI321" s="370"/>
      <c r="CJ321" s="370"/>
      <c r="CK321" s="370"/>
      <c r="CL321" s="370"/>
      <c r="CM321" s="370"/>
      <c r="CN321" s="370"/>
      <c r="CO321" s="370"/>
      <c r="CP321" s="370"/>
      <c r="CQ321" s="370"/>
      <c r="CR321" s="370"/>
      <c r="CS321" s="370"/>
      <c r="CT321" s="370"/>
      <c r="CU321" s="370"/>
      <c r="CV321" s="370"/>
    </row>
    <row r="326" spans="69:100" ht="40" customHeight="1" x14ac:dyDescent="0.35">
      <c r="BV326" s="479" t="s">
        <v>98</v>
      </c>
      <c r="BW326" s="479"/>
      <c r="BX326" s="479"/>
      <c r="BY326" s="479"/>
      <c r="BZ326" s="479"/>
      <c r="CA326" s="479"/>
      <c r="CB326" s="479"/>
      <c r="CC326" s="479"/>
      <c r="CD326" s="479"/>
      <c r="CE326" s="479"/>
      <c r="CF326" s="479"/>
      <c r="CG326" s="479"/>
      <c r="CH326" s="479"/>
      <c r="CI326" s="479"/>
      <c r="CJ326" s="479"/>
      <c r="CK326" s="479"/>
      <c r="CL326" s="479"/>
      <c r="CM326" s="479"/>
      <c r="CN326" s="479"/>
      <c r="CO326" s="479"/>
      <c r="CP326" s="479"/>
      <c r="CQ326" s="479"/>
      <c r="CR326" s="479"/>
      <c r="CS326" s="479"/>
      <c r="CT326" s="479"/>
      <c r="CU326" s="479"/>
      <c r="CV326" s="479"/>
    </row>
    <row r="327" spans="69:100" ht="15" customHeight="1" x14ac:dyDescent="0.35">
      <c r="BV327" s="83" t="s">
        <v>3</v>
      </c>
      <c r="BW327" s="83"/>
      <c r="BX327" s="83"/>
    </row>
    <row r="328" spans="69:100" ht="28" customHeight="1" x14ac:dyDescent="0.35">
      <c r="BV328" s="337" t="s">
        <v>4</v>
      </c>
      <c r="BW328" s="338" t="str">
        <f>BW256</f>
        <v>2T | 2026</v>
      </c>
      <c r="BX328" s="338" t="str">
        <f>BX256</f>
        <v>1T | 2026</v>
      </c>
      <c r="BY328" s="338" t="str">
        <f t="shared" ref="BY328:CV328" si="41">BY256</f>
        <v>4T | 2025</v>
      </c>
      <c r="BZ328" s="338" t="str">
        <f t="shared" si="41"/>
        <v>3T | 2025</v>
      </c>
      <c r="CA328" s="338" t="str">
        <f t="shared" si="41"/>
        <v>2T | 2025</v>
      </c>
      <c r="CB328" s="338" t="str">
        <f t="shared" si="41"/>
        <v>1T | 2025</v>
      </c>
      <c r="CC328" s="338" t="str">
        <f t="shared" si="41"/>
        <v>4T | 2024</v>
      </c>
      <c r="CD328" s="338" t="str">
        <f t="shared" si="41"/>
        <v>3T | 2024</v>
      </c>
      <c r="CE328" s="338" t="str">
        <f t="shared" si="41"/>
        <v>2T | 2024</v>
      </c>
      <c r="CF328" s="338" t="str">
        <f t="shared" si="41"/>
        <v>1T | 2024</v>
      </c>
      <c r="CG328" s="338" t="str">
        <f t="shared" si="41"/>
        <v>4T | 2023</v>
      </c>
      <c r="CH328" s="338" t="str">
        <f t="shared" si="41"/>
        <v>3T | 2023</v>
      </c>
      <c r="CI328" s="338" t="str">
        <f t="shared" si="41"/>
        <v>2T | 2023</v>
      </c>
      <c r="CJ328" s="338" t="str">
        <f t="shared" si="41"/>
        <v>1T | 2023</v>
      </c>
      <c r="CK328" s="338" t="str">
        <f t="shared" si="41"/>
        <v>4T | 2022</v>
      </c>
      <c r="CL328" s="338" t="str">
        <f t="shared" si="41"/>
        <v>3T | 2022</v>
      </c>
      <c r="CM328" s="338" t="str">
        <f t="shared" si="41"/>
        <v>2T | 2022</v>
      </c>
      <c r="CN328" s="338" t="str">
        <f t="shared" si="41"/>
        <v>1T | 2022</v>
      </c>
      <c r="CO328" s="338" t="str">
        <f t="shared" si="41"/>
        <v>4T | 2021</v>
      </c>
      <c r="CP328" s="338" t="str">
        <f t="shared" si="41"/>
        <v>3T | 2021</v>
      </c>
      <c r="CQ328" s="338" t="str">
        <f t="shared" si="41"/>
        <v>2T | 2021</v>
      </c>
      <c r="CR328" s="338" t="str">
        <f t="shared" si="41"/>
        <v>1T | 2021</v>
      </c>
      <c r="CS328" s="338" t="str">
        <f t="shared" si="41"/>
        <v>4T | 2020</v>
      </c>
      <c r="CT328" s="338" t="str">
        <f t="shared" si="41"/>
        <v>3T | 2020</v>
      </c>
      <c r="CU328" s="338" t="str">
        <f t="shared" si="41"/>
        <v>2T | 2020</v>
      </c>
      <c r="CV328" s="338" t="str">
        <f t="shared" si="41"/>
        <v>1T | 2020</v>
      </c>
    </row>
    <row r="329" spans="69:100" ht="25" customHeight="1" x14ac:dyDescent="0.35">
      <c r="BV329" s="42" t="s">
        <v>6</v>
      </c>
      <c r="BW329" s="46">
        <f t="shared" ref="BW329:CV329" si="42">IFERROR(SUM(BW330:BW339),0)</f>
        <v>7715790</v>
      </c>
      <c r="BX329" s="46">
        <f t="shared" si="42"/>
        <v>7391224</v>
      </c>
      <c r="BY329" s="46">
        <f t="shared" si="42"/>
        <v>7983155</v>
      </c>
      <c r="BZ329" s="46">
        <f t="shared" si="42"/>
        <v>7286787</v>
      </c>
      <c r="CA329" s="46">
        <f t="shared" si="42"/>
        <v>7269939</v>
      </c>
      <c r="CB329" s="46">
        <f t="shared" si="42"/>
        <v>6503486</v>
      </c>
      <c r="CC329" s="46">
        <f t="shared" si="42"/>
        <v>7561633</v>
      </c>
      <c r="CD329" s="46">
        <f t="shared" si="42"/>
        <v>6758464</v>
      </c>
      <c r="CE329" s="46">
        <f t="shared" si="42"/>
        <v>6326844</v>
      </c>
      <c r="CF329" s="46">
        <f t="shared" si="42"/>
        <v>5970233</v>
      </c>
      <c r="CG329" s="46">
        <f t="shared" si="42"/>
        <v>6427347</v>
      </c>
      <c r="CH329" s="46">
        <f t="shared" si="42"/>
        <v>5994696</v>
      </c>
      <c r="CI329" s="46">
        <f t="shared" si="42"/>
        <v>5549457</v>
      </c>
      <c r="CJ329" s="46">
        <f t="shared" si="42"/>
        <v>5376937</v>
      </c>
      <c r="CK329" s="46">
        <f t="shared" si="42"/>
        <v>5498390</v>
      </c>
      <c r="CL329" s="46">
        <f t="shared" si="42"/>
        <v>5740890</v>
      </c>
      <c r="CM329" s="46">
        <f t="shared" si="42"/>
        <v>4931119</v>
      </c>
      <c r="CN329" s="46">
        <f t="shared" si="42"/>
        <v>4748317</v>
      </c>
      <c r="CO329" s="46">
        <f t="shared" si="42"/>
        <v>6590666</v>
      </c>
      <c r="CP329" s="46">
        <f t="shared" si="42"/>
        <v>6291002</v>
      </c>
      <c r="CQ329" s="46">
        <f t="shared" si="42"/>
        <v>4801038</v>
      </c>
      <c r="CR329" s="46">
        <f t="shared" si="42"/>
        <v>4661975</v>
      </c>
      <c r="CS329" s="46">
        <f t="shared" si="42"/>
        <v>4788473</v>
      </c>
      <c r="CT329" s="46">
        <f t="shared" si="42"/>
        <v>4167458</v>
      </c>
      <c r="CU329" s="46">
        <f t="shared" si="42"/>
        <v>3778352</v>
      </c>
      <c r="CV329" s="46">
        <f t="shared" si="42"/>
        <v>3777379</v>
      </c>
    </row>
    <row r="330" spans="69:100" ht="19" customHeight="1" x14ac:dyDescent="0.35">
      <c r="BQ330" s="1" t="str">
        <f t="shared" ref="BQ330:BQ339" si="43">_xlfn.CONCAT($BV$326," | ",BV330)</f>
        <v>CEMIG D | Fornecimento bruto de energia elétrica e receita de uso da rede - consumidores cativos</v>
      </c>
      <c r="BT330" s="390"/>
      <c r="BV330" s="35" t="s">
        <v>99</v>
      </c>
      <c r="BW330" s="30">
        <v>6403861</v>
      </c>
      <c r="BX330" s="30">
        <v>6375726</v>
      </c>
      <c r="BY330" s="30">
        <v>6967334</v>
      </c>
      <c r="BZ330" s="32">
        <v>6223970</v>
      </c>
      <c r="CA330" s="32">
        <v>6090187</v>
      </c>
      <c r="CB330" s="32">
        <v>5885797</v>
      </c>
      <c r="CC330" s="32">
        <v>6964429</v>
      </c>
      <c r="CD330" s="32">
        <v>6021070</v>
      </c>
      <c r="CE330" s="32">
        <v>5881556</v>
      </c>
      <c r="CF330" s="32">
        <v>5727071</v>
      </c>
      <c r="CG330" s="32">
        <v>6241346</v>
      </c>
      <c r="CH330" s="32">
        <v>5489766</v>
      </c>
      <c r="CI330" s="32">
        <v>5097880</v>
      </c>
      <c r="CJ330" s="32">
        <v>4721748</v>
      </c>
      <c r="CK330" s="32">
        <v>4240748</v>
      </c>
      <c r="CL330" s="32">
        <v>4499920</v>
      </c>
      <c r="CM330" s="32">
        <v>5475415</v>
      </c>
      <c r="CN330" s="32">
        <v>5993356</v>
      </c>
      <c r="CO330" s="32">
        <v>5970764</v>
      </c>
      <c r="CP330" s="32">
        <v>5619044</v>
      </c>
      <c r="CQ330" s="32">
        <v>5047877</v>
      </c>
      <c r="CR330" s="32">
        <v>5074888</v>
      </c>
      <c r="CS330" s="32">
        <v>5101893</v>
      </c>
      <c r="CT330" s="32">
        <v>4785113</v>
      </c>
      <c r="CU330" s="32">
        <v>4391540</v>
      </c>
      <c r="CV330" s="32">
        <v>4895060</v>
      </c>
    </row>
    <row r="331" spans="69:100" ht="19" customHeight="1" x14ac:dyDescent="0.35">
      <c r="BQ331" s="1" t="str">
        <f t="shared" si="43"/>
        <v>CEMIG D | Restituição de créditos de PIS/Pasep e Cofins aos consumidores - Realização</v>
      </c>
      <c r="BV331" s="49" t="s">
        <v>53</v>
      </c>
      <c r="BW331" s="30">
        <v>0</v>
      </c>
      <c r="BX331" s="30">
        <v>0</v>
      </c>
      <c r="BY331" s="30">
        <v>0</v>
      </c>
      <c r="BZ331" s="32">
        <v>0</v>
      </c>
      <c r="CA331" s="32">
        <v>0</v>
      </c>
      <c r="CB331" s="32">
        <v>0</v>
      </c>
      <c r="CC331" s="32">
        <v>0</v>
      </c>
      <c r="CD331" s="32">
        <v>0</v>
      </c>
      <c r="CE331" s="32">
        <v>190186</v>
      </c>
      <c r="CF331" s="32">
        <v>322666</v>
      </c>
      <c r="CG331" s="32">
        <v>339403</v>
      </c>
      <c r="CH331" s="32">
        <v>311748</v>
      </c>
      <c r="CI331" s="32">
        <v>561518</v>
      </c>
      <c r="CJ331" s="32">
        <v>695989</v>
      </c>
      <c r="CK331" s="32">
        <v>718478</v>
      </c>
      <c r="CL331" s="32">
        <v>706087</v>
      </c>
      <c r="CM331" s="32">
        <v>498773</v>
      </c>
      <c r="CN331" s="32">
        <v>436718</v>
      </c>
      <c r="CO331" s="32">
        <v>440995</v>
      </c>
      <c r="CP331" s="32">
        <v>445089</v>
      </c>
      <c r="CQ331" s="32">
        <v>252538</v>
      </c>
      <c r="CR331" s="32">
        <v>178373</v>
      </c>
      <c r="CS331" s="32">
        <v>-547245</v>
      </c>
      <c r="CT331" s="32">
        <v>83346</v>
      </c>
      <c r="CU331" s="32">
        <v>0</v>
      </c>
      <c r="CV331" s="32">
        <v>730219</v>
      </c>
    </row>
    <row r="332" spans="69:100" ht="19" customHeight="1" x14ac:dyDescent="0.35">
      <c r="BQ332" s="1" t="str">
        <f t="shared" si="43"/>
        <v>CEMIG D | Receita de uso da rede - consumidores livres</v>
      </c>
      <c r="BT332" s="390"/>
      <c r="BV332" s="49" t="s">
        <v>100</v>
      </c>
      <c r="BW332" s="30">
        <v>1663919</v>
      </c>
      <c r="BX332" s="30">
        <v>1557584</v>
      </c>
      <c r="BY332" s="30">
        <v>1585493</v>
      </c>
      <c r="BZ332" s="32">
        <v>1483325</v>
      </c>
      <c r="CA332" s="32">
        <v>1424464</v>
      </c>
      <c r="CB332" s="32">
        <v>1440424</v>
      </c>
      <c r="CC332" s="32">
        <v>1385673</v>
      </c>
      <c r="CD332" s="32">
        <v>1343687</v>
      </c>
      <c r="CE332" s="32">
        <v>1261441</v>
      </c>
      <c r="CF332" s="32">
        <v>1178238</v>
      </c>
      <c r="CG332" s="32">
        <v>1200374</v>
      </c>
      <c r="CH332" s="32">
        <v>1133966</v>
      </c>
      <c r="CI332" s="32">
        <v>1125668</v>
      </c>
      <c r="CJ332" s="32">
        <v>987508</v>
      </c>
      <c r="CK332" s="32">
        <v>934544</v>
      </c>
      <c r="CL332" s="32">
        <v>991869</v>
      </c>
      <c r="CM332" s="32">
        <v>920530</v>
      </c>
      <c r="CN332" s="32">
        <v>868131</v>
      </c>
      <c r="CO332" s="32">
        <v>910410</v>
      </c>
      <c r="CP332" s="32">
        <v>893562</v>
      </c>
      <c r="CQ332" s="32">
        <v>826666</v>
      </c>
      <c r="CR332" s="32">
        <v>842555</v>
      </c>
      <c r="CS332" s="32">
        <v>1619862</v>
      </c>
      <c r="CT332" s="32">
        <v>799877</v>
      </c>
      <c r="CU332" s="32">
        <v>680582</v>
      </c>
      <c r="CV332" s="32">
        <v>-54602</v>
      </c>
    </row>
    <row r="333" spans="69:100" ht="19" customHeight="1" x14ac:dyDescent="0.35">
      <c r="BQ333" s="1" t="str">
        <f t="shared" si="43"/>
        <v>CEMIG D | Ativos e passivos financeiros setoriais líquidos</v>
      </c>
      <c r="BT333" s="390"/>
      <c r="BV333" s="49" t="s">
        <v>101</v>
      </c>
      <c r="BW333" s="30">
        <v>213753</v>
      </c>
      <c r="BX333" s="30">
        <v>369582</v>
      </c>
      <c r="BY333" s="30">
        <v>195024</v>
      </c>
      <c r="BZ333" s="32">
        <v>114019</v>
      </c>
      <c r="CA333" s="32">
        <v>70394</v>
      </c>
      <c r="CB333" s="32">
        <v>126322</v>
      </c>
      <c r="CC333" s="32">
        <v>46798</v>
      </c>
      <c r="CD333" s="32">
        <v>357377</v>
      </c>
      <c r="CE333" s="32">
        <v>-56556</v>
      </c>
      <c r="CF333" s="32">
        <v>75674</v>
      </c>
      <c r="CG333" s="32">
        <v>-149466</v>
      </c>
      <c r="CH333" s="32">
        <v>80237</v>
      </c>
      <c r="CI333" s="32">
        <v>-164650</v>
      </c>
      <c r="CJ333" s="32">
        <v>20841</v>
      </c>
      <c r="CK333" s="32">
        <v>221135</v>
      </c>
      <c r="CL333" s="32">
        <v>-395654</v>
      </c>
      <c r="CM333" s="32">
        <v>-271933</v>
      </c>
      <c r="CN333" s="32">
        <v>-700107</v>
      </c>
      <c r="CO333" s="32">
        <v>237144</v>
      </c>
      <c r="CP333" s="32">
        <v>1116248</v>
      </c>
      <c r="CQ333" s="32">
        <v>453744</v>
      </c>
      <c r="CR333" s="32">
        <v>338907</v>
      </c>
      <c r="CS333" s="32">
        <v>52888</v>
      </c>
      <c r="CT333" s="32">
        <v>17192</v>
      </c>
      <c r="CU333" s="32">
        <v>136254</v>
      </c>
      <c r="CV333" s="32">
        <v>248407</v>
      </c>
    </row>
    <row r="334" spans="69:100" ht="19" customHeight="1" x14ac:dyDescent="0.35">
      <c r="BQ334" s="1" t="str">
        <f t="shared" si="43"/>
        <v>CEMIG D | Receita de construção de infraestrutura de distribuição</v>
      </c>
      <c r="BT334" s="390"/>
      <c r="BV334" s="49" t="s">
        <v>102</v>
      </c>
      <c r="BW334" s="30">
        <v>1534101</v>
      </c>
      <c r="BX334" s="30">
        <v>1326161</v>
      </c>
      <c r="BY334" s="30">
        <v>1620754</v>
      </c>
      <c r="BZ334" s="32">
        <v>1426038</v>
      </c>
      <c r="CA334" s="32">
        <v>1231705</v>
      </c>
      <c r="CB334" s="32">
        <v>1046946</v>
      </c>
      <c r="CC334" s="32">
        <v>1289864</v>
      </c>
      <c r="CD334" s="32">
        <v>1151083</v>
      </c>
      <c r="CE334" s="32">
        <v>1078688</v>
      </c>
      <c r="CF334" s="32">
        <v>858976</v>
      </c>
      <c r="CG334" s="32">
        <v>1052788</v>
      </c>
      <c r="CH334" s="32">
        <v>1030177</v>
      </c>
      <c r="CI334" s="32">
        <v>859801</v>
      </c>
      <c r="CJ334" s="32">
        <v>657608</v>
      </c>
      <c r="CK334" s="32">
        <v>1030298</v>
      </c>
      <c r="CL334" s="32">
        <v>1050012</v>
      </c>
      <c r="CM334" s="32">
        <v>683279</v>
      </c>
      <c r="CN334" s="32">
        <v>429503</v>
      </c>
      <c r="CO334" s="32">
        <v>596428</v>
      </c>
      <c r="CP334" s="32">
        <v>486414</v>
      </c>
      <c r="CQ334" s="32">
        <v>398218</v>
      </c>
      <c r="CR334" s="32">
        <v>321301</v>
      </c>
      <c r="CS334" s="32">
        <v>663604</v>
      </c>
      <c r="CT334" s="32">
        <v>386669</v>
      </c>
      <c r="CU334" s="32">
        <v>333337</v>
      </c>
      <c r="CV334" s="32">
        <v>724</v>
      </c>
    </row>
    <row r="335" spans="69:100" ht="19" customHeight="1" x14ac:dyDescent="0.35">
      <c r="BQ335" s="1" t="str">
        <f t="shared" si="43"/>
        <v>CEMIG D | Ajuste de expectativa do fluxo de caixa do ativo financeiro indenizável da concessão</v>
      </c>
      <c r="BT335" s="390"/>
      <c r="BV335" s="49" t="s">
        <v>103</v>
      </c>
      <c r="BW335" s="30">
        <v>79686</v>
      </c>
      <c r="BX335" s="30">
        <v>65278</v>
      </c>
      <c r="BY335" s="30">
        <v>15929</v>
      </c>
      <c r="BZ335" s="32">
        <v>21411</v>
      </c>
      <c r="CA335" s="32">
        <v>26618</v>
      </c>
      <c r="CB335" s="32">
        <v>53203</v>
      </c>
      <c r="CC335" s="32">
        <v>34754</v>
      </c>
      <c r="CD335" s="32">
        <v>16454</v>
      </c>
      <c r="CE335" s="32">
        <v>22258</v>
      </c>
      <c r="CF335" s="32">
        <v>30951</v>
      </c>
      <c r="CG335" s="32">
        <v>22086</v>
      </c>
      <c r="CH335" s="32">
        <v>49577</v>
      </c>
      <c r="CI335" s="32">
        <v>46731</v>
      </c>
      <c r="CJ335" s="32">
        <v>30844</v>
      </c>
      <c r="CK335" s="32">
        <v>10968</v>
      </c>
      <c r="CL335" s="32">
        <v>-10361</v>
      </c>
      <c r="CM335" s="32">
        <v>19030</v>
      </c>
      <c r="CN335" s="32">
        <v>19732</v>
      </c>
      <c r="CO335" s="32">
        <v>15792</v>
      </c>
      <c r="CP335" s="32">
        <v>17934</v>
      </c>
      <c r="CQ335" s="32">
        <v>9119</v>
      </c>
      <c r="CR335" s="32">
        <v>10906</v>
      </c>
      <c r="CS335" s="32">
        <v>35040</v>
      </c>
      <c r="CT335" s="32">
        <v>-697</v>
      </c>
      <c r="CU335" s="32">
        <v>-1679</v>
      </c>
      <c r="CV335" s="32">
        <v>-17199</v>
      </c>
    </row>
    <row r="336" spans="69:100" ht="19" customHeight="1" x14ac:dyDescent="0.35">
      <c r="BQ336" s="1" t="str">
        <f t="shared" si="43"/>
        <v>CEMIG D | Compensação por violação de padrão indicador de continuidade</v>
      </c>
      <c r="BT336" s="390"/>
      <c r="BV336" s="49" t="s">
        <v>65</v>
      </c>
      <c r="BW336" s="30">
        <v>-39695</v>
      </c>
      <c r="BX336" s="30">
        <v>-48016</v>
      </c>
      <c r="BY336" s="30">
        <v>-35447</v>
      </c>
      <c r="BZ336" s="32">
        <v>-32537</v>
      </c>
      <c r="CA336" s="32">
        <v>-39949</v>
      </c>
      <c r="CB336" s="32">
        <v>-46812</v>
      </c>
      <c r="CC336" s="32">
        <v>-45311</v>
      </c>
      <c r="CD336" s="32">
        <v>-29163</v>
      </c>
      <c r="CE336" s="32">
        <v>-37084</v>
      </c>
      <c r="CF336" s="32">
        <v>-45927</v>
      </c>
      <c r="CG336" s="32">
        <v>-46066</v>
      </c>
      <c r="CH336" s="32">
        <v>-21480</v>
      </c>
      <c r="CI336" s="32">
        <v>-32910</v>
      </c>
      <c r="CJ336" s="32">
        <v>-38469</v>
      </c>
      <c r="CK336" s="32">
        <v>-29168</v>
      </c>
      <c r="CL336" s="32">
        <v>-13668</v>
      </c>
      <c r="CM336" s="32">
        <v>-19305</v>
      </c>
      <c r="CN336" s="32">
        <v>-31894</v>
      </c>
      <c r="CO336" s="32">
        <v>-18590</v>
      </c>
      <c r="CP336" s="32">
        <v>-7454</v>
      </c>
      <c r="CQ336" s="32">
        <v>-14335</v>
      </c>
      <c r="CR336" s="32">
        <v>-30569</v>
      </c>
      <c r="CS336" s="32">
        <v>-34284</v>
      </c>
      <c r="CT336" s="32">
        <v>-4330</v>
      </c>
      <c r="CU336" s="32">
        <v>-11918</v>
      </c>
      <c r="CV336" s="32">
        <v>0</v>
      </c>
    </row>
    <row r="337" spans="69:100" ht="19" customHeight="1" x14ac:dyDescent="0.35">
      <c r="BQ337" s="1" t="str">
        <f t="shared" si="43"/>
        <v>CEMIG D | Transações no Mecanismo de Venda de Excedentes</v>
      </c>
      <c r="BV337" s="49" t="s">
        <v>104</v>
      </c>
      <c r="BW337" s="30">
        <v>0</v>
      </c>
      <c r="BX337" s="30">
        <v>0</v>
      </c>
      <c r="BY337" s="30">
        <v>0</v>
      </c>
      <c r="BZ337" s="32">
        <v>0</v>
      </c>
      <c r="CA337" s="32">
        <v>0</v>
      </c>
      <c r="CB337" s="32">
        <v>0</v>
      </c>
      <c r="CC337" s="32">
        <v>0</v>
      </c>
      <c r="CD337" s="32">
        <v>0</v>
      </c>
      <c r="CE337" s="32">
        <v>0</v>
      </c>
      <c r="CF337" s="32">
        <v>0</v>
      </c>
      <c r="CG337" s="32">
        <v>0</v>
      </c>
      <c r="CH337" s="32">
        <v>0</v>
      </c>
      <c r="CI337" s="32">
        <v>0</v>
      </c>
      <c r="CJ337" s="32">
        <v>-3766</v>
      </c>
      <c r="CK337" s="32">
        <v>121819</v>
      </c>
      <c r="CL337" s="32">
        <v>125463</v>
      </c>
      <c r="CM337" s="32">
        <v>66855</v>
      </c>
      <c r="CN337" s="32">
        <v>138994</v>
      </c>
      <c r="CO337" s="32">
        <v>226647</v>
      </c>
      <c r="CP337" s="32">
        <v>226649</v>
      </c>
      <c r="CQ337" s="32">
        <v>0</v>
      </c>
      <c r="CR337" s="32">
        <v>0</v>
      </c>
      <c r="CS337" s="32">
        <v>186657</v>
      </c>
      <c r="CT337" s="32">
        <v>47690</v>
      </c>
      <c r="CU337" s="32">
        <v>0</v>
      </c>
      <c r="CV337" s="32">
        <v>0</v>
      </c>
    </row>
    <row r="338" spans="69:100" ht="19" customHeight="1" x14ac:dyDescent="0.35">
      <c r="BQ338" s="1" t="str">
        <f t="shared" si="43"/>
        <v>CEMIG D | Outras receitas operacionais</v>
      </c>
      <c r="BT338" s="390"/>
      <c r="BV338" s="49" t="s">
        <v>105</v>
      </c>
      <c r="BW338" s="30">
        <v>961091</v>
      </c>
      <c r="BX338" s="30">
        <v>913783</v>
      </c>
      <c r="BY338" s="30">
        <v>1003169</v>
      </c>
      <c r="BZ338" s="32">
        <v>1164478</v>
      </c>
      <c r="CA338" s="32">
        <v>1228948</v>
      </c>
      <c r="CB338" s="32">
        <v>640343</v>
      </c>
      <c r="CC338" s="32">
        <v>712640</v>
      </c>
      <c r="CD338" s="32">
        <v>638185</v>
      </c>
      <c r="CE338" s="32">
        <v>709466</v>
      </c>
      <c r="CF338" s="32">
        <v>559858</v>
      </c>
      <c r="CG338" s="32">
        <v>551265</v>
      </c>
      <c r="CH338" s="32">
        <v>553437</v>
      </c>
      <c r="CI338" s="32">
        <v>558157</v>
      </c>
      <c r="CJ338" s="32">
        <v>437475</v>
      </c>
      <c r="CK338" s="32">
        <v>-393631</v>
      </c>
      <c r="CL338" s="32">
        <v>850935</v>
      </c>
      <c r="CM338" s="32">
        <v>762406</v>
      </c>
      <c r="CN338" s="32">
        <v>412058</v>
      </c>
      <c r="CO338" s="32">
        <v>1184986</v>
      </c>
      <c r="CP338" s="32">
        <v>414008</v>
      </c>
      <c r="CQ338" s="32">
        <v>405503</v>
      </c>
      <c r="CR338" s="32">
        <v>444950</v>
      </c>
      <c r="CS338" s="32">
        <v>271815</v>
      </c>
      <c r="CT338" s="32">
        <v>372160</v>
      </c>
      <c r="CU338" s="32">
        <v>477137</v>
      </c>
      <c r="CV338" s="32">
        <v>440531</v>
      </c>
    </row>
    <row r="339" spans="69:100" ht="19" customHeight="1" x14ac:dyDescent="0.35">
      <c r="BQ339" s="1" t="str">
        <f t="shared" si="43"/>
        <v>CEMIG D | Tributos e encargos incidentes sobre as receitas</v>
      </c>
      <c r="BT339" s="390"/>
      <c r="BV339" s="49" t="s">
        <v>106</v>
      </c>
      <c r="BW339" s="30">
        <v>-3100926</v>
      </c>
      <c r="BX339" s="30">
        <v>-3168874</v>
      </c>
      <c r="BY339" s="30">
        <v>-3369101</v>
      </c>
      <c r="BZ339" s="32">
        <v>-3113917</v>
      </c>
      <c r="CA339" s="32">
        <v>-2762428</v>
      </c>
      <c r="CB339" s="32">
        <v>-2642737</v>
      </c>
      <c r="CC339" s="32">
        <v>-2827214</v>
      </c>
      <c r="CD339" s="32">
        <v>-2740229</v>
      </c>
      <c r="CE339" s="32">
        <v>-2723111</v>
      </c>
      <c r="CF339" s="32">
        <v>-2737274</v>
      </c>
      <c r="CG339" s="32">
        <v>-2784383</v>
      </c>
      <c r="CH339" s="32">
        <v>-2632732</v>
      </c>
      <c r="CI339" s="32">
        <v>-2502738</v>
      </c>
      <c r="CJ339" s="32">
        <v>-2132841</v>
      </c>
      <c r="CK339" s="32">
        <v>-1356801</v>
      </c>
      <c r="CL339" s="32">
        <v>-2063713</v>
      </c>
      <c r="CM339" s="32">
        <v>-3203931</v>
      </c>
      <c r="CN339" s="32">
        <v>-2818174</v>
      </c>
      <c r="CO339" s="32">
        <v>-2973910</v>
      </c>
      <c r="CP339" s="32">
        <v>-2920492</v>
      </c>
      <c r="CQ339" s="32">
        <v>-2578292</v>
      </c>
      <c r="CR339" s="32">
        <v>-2519336</v>
      </c>
      <c r="CS339" s="32">
        <v>-2561757</v>
      </c>
      <c r="CT339" s="32">
        <v>-2319562</v>
      </c>
      <c r="CU339" s="32">
        <v>-2226901</v>
      </c>
      <c r="CV339" s="32">
        <v>-2465761</v>
      </c>
    </row>
    <row r="340" spans="69:100" ht="25" customHeight="1" x14ac:dyDescent="0.35">
      <c r="BV340" s="4" t="s">
        <v>7</v>
      </c>
      <c r="BW340" s="66">
        <f>SUM(BW341:BW355)</f>
        <v>-6520835</v>
      </c>
      <c r="BX340" s="66">
        <f>SUM(BX341:BX355)</f>
        <v>-6655525</v>
      </c>
      <c r="BY340" s="66">
        <f t="shared" ref="BY340:CV340" si="44">SUM(BY341:BY354)</f>
        <v>-6573565</v>
      </c>
      <c r="BZ340" s="31">
        <f t="shared" si="44"/>
        <v>-6790313</v>
      </c>
      <c r="CA340" s="31">
        <f t="shared" si="44"/>
        <v>-6283352</v>
      </c>
      <c r="CB340" s="31">
        <f t="shared" si="44"/>
        <v>-5931625</v>
      </c>
      <c r="CC340" s="31">
        <f t="shared" si="44"/>
        <v>-6855370</v>
      </c>
      <c r="CD340" s="31">
        <f t="shared" si="44"/>
        <v>-6215173</v>
      </c>
      <c r="CE340" s="31">
        <f t="shared" si="44"/>
        <v>-5221703</v>
      </c>
      <c r="CF340" s="31">
        <f t="shared" si="44"/>
        <v>-5439942</v>
      </c>
      <c r="CG340" s="31">
        <f t="shared" si="44"/>
        <v>-5860239</v>
      </c>
      <c r="CH340" s="31">
        <f t="shared" si="44"/>
        <v>-5364367</v>
      </c>
      <c r="CI340" s="31">
        <f t="shared" si="44"/>
        <v>-5058008</v>
      </c>
      <c r="CJ340" s="31">
        <f t="shared" si="44"/>
        <v>-4796089</v>
      </c>
      <c r="CK340" s="31">
        <f t="shared" si="44"/>
        <v>-4063823</v>
      </c>
      <c r="CL340" s="31">
        <f t="shared" si="44"/>
        <v>-5070158</v>
      </c>
      <c r="CM340" s="31">
        <f t="shared" si="44"/>
        <v>-6023416</v>
      </c>
      <c r="CN340" s="31">
        <f t="shared" si="44"/>
        <v>-4269163</v>
      </c>
      <c r="CO340" s="31">
        <f t="shared" si="44"/>
        <v>-5785358</v>
      </c>
      <c r="CP340" s="31">
        <f t="shared" si="44"/>
        <v>-5739131</v>
      </c>
      <c r="CQ340" s="31">
        <f t="shared" si="44"/>
        <v>-4376327</v>
      </c>
      <c r="CR340" s="31">
        <f t="shared" si="44"/>
        <v>-4080929</v>
      </c>
      <c r="CS340" s="31">
        <f t="shared" si="44"/>
        <v>-4497432</v>
      </c>
      <c r="CT340" s="31">
        <f t="shared" si="44"/>
        <v>-3531879</v>
      </c>
      <c r="CU340" s="31">
        <f t="shared" si="44"/>
        <v>-3413707</v>
      </c>
      <c r="CV340" s="31">
        <f t="shared" si="44"/>
        <v>-3445745</v>
      </c>
    </row>
    <row r="341" spans="69:100" ht="19" customHeight="1" x14ac:dyDescent="0.35">
      <c r="BQ341" s="1" t="str">
        <f t="shared" ref="BQ341:BQ356" si="45">_xlfn.CONCAT($BV$326," | ",BV341)</f>
        <v>CEMIG D | Energia elétrica comprada para revenda</v>
      </c>
      <c r="BV341" s="36" t="s">
        <v>70</v>
      </c>
      <c r="BW341" s="30">
        <v>-2935710</v>
      </c>
      <c r="BX341" s="30">
        <v>-3072943</v>
      </c>
      <c r="BY341" s="30">
        <v>-3232295</v>
      </c>
      <c r="BZ341" s="32">
        <v>-3181790</v>
      </c>
      <c r="CA341" s="32">
        <v>-2917439</v>
      </c>
      <c r="CB341" s="32">
        <v>-2770055</v>
      </c>
      <c r="CC341" s="32">
        <v>-3356060</v>
      </c>
      <c r="CD341" s="32">
        <v>-3078245</v>
      </c>
      <c r="CE341" s="32">
        <v>-2544751</v>
      </c>
      <c r="CF341" s="32">
        <v>-2399373</v>
      </c>
      <c r="CG341" s="32">
        <v>-2598397</v>
      </c>
      <c r="CH341" s="32">
        <v>-2361047</v>
      </c>
      <c r="CI341" s="32">
        <v>-2306032</v>
      </c>
      <c r="CJ341" s="32">
        <v>-2323814</v>
      </c>
      <c r="CK341" s="32">
        <v>-2475036</v>
      </c>
      <c r="CL341" s="32">
        <v>-2460498</v>
      </c>
      <c r="CM341" s="32">
        <v>-2257209</v>
      </c>
      <c r="CN341" s="32">
        <v>-1978485</v>
      </c>
      <c r="CO341" s="32">
        <v>-3193653</v>
      </c>
      <c r="CP341" s="32">
        <v>-3729505</v>
      </c>
      <c r="CQ341" s="32">
        <v>-2375202</v>
      </c>
      <c r="CR341" s="32">
        <v>-2148339</v>
      </c>
      <c r="CS341" s="32">
        <v>-2429290</v>
      </c>
      <c r="CT341" s="32">
        <v>-1909352</v>
      </c>
      <c r="CU341" s="32">
        <v>-1903100</v>
      </c>
      <c r="CV341" s="32">
        <v>-1919179</v>
      </c>
    </row>
    <row r="342" spans="69:100" ht="19" customHeight="1" x14ac:dyDescent="0.35">
      <c r="BQ342" s="1" t="str">
        <f t="shared" si="45"/>
        <v>CEMIG D | Encargos de uso da rede básica de transmissão e demais encargos do sistema</v>
      </c>
      <c r="BV342" s="36" t="s">
        <v>107</v>
      </c>
      <c r="BW342" s="30">
        <v>-863579</v>
      </c>
      <c r="BX342" s="30">
        <v>-872414</v>
      </c>
      <c r="BY342" s="30">
        <v>-851110</v>
      </c>
      <c r="BZ342" s="32">
        <v>-865659</v>
      </c>
      <c r="CA342" s="32">
        <v>-854949</v>
      </c>
      <c r="CB342" s="32">
        <v>-837788</v>
      </c>
      <c r="CC342" s="32">
        <v>-761725</v>
      </c>
      <c r="CD342" s="32">
        <v>-869074</v>
      </c>
      <c r="CE342" s="32">
        <v>-849924</v>
      </c>
      <c r="CF342" s="32">
        <v>-875363</v>
      </c>
      <c r="CG342" s="32">
        <v>-795605</v>
      </c>
      <c r="CH342" s="32">
        <v>-809263</v>
      </c>
      <c r="CI342" s="32">
        <v>-732617</v>
      </c>
      <c r="CJ342" s="32">
        <v>-729462</v>
      </c>
      <c r="CK342" s="32">
        <v>-681829</v>
      </c>
      <c r="CL342" s="32">
        <v>-617023</v>
      </c>
      <c r="CM342" s="32">
        <v>-579441</v>
      </c>
      <c r="CN342" s="32">
        <v>-888952</v>
      </c>
      <c r="CO342" s="32">
        <v>-1249550</v>
      </c>
      <c r="CP342" s="32">
        <v>-670720</v>
      </c>
      <c r="CQ342" s="32">
        <v>-720452</v>
      </c>
      <c r="CR342" s="32">
        <v>-765274</v>
      </c>
      <c r="CS342" s="32">
        <v>-607783</v>
      </c>
      <c r="CT342" s="32">
        <v>-553257</v>
      </c>
      <c r="CU342" s="32">
        <v>-265470</v>
      </c>
      <c r="CV342" s="32">
        <v>-372581</v>
      </c>
    </row>
    <row r="343" spans="69:100" ht="19" customHeight="1" x14ac:dyDescent="0.35">
      <c r="BQ343" s="1" t="str">
        <f t="shared" si="45"/>
        <v>CEMIG D | Custo de construção da infraestrutura de distribuição</v>
      </c>
      <c r="BV343" s="36" t="s">
        <v>108</v>
      </c>
      <c r="BW343" s="30">
        <v>-1534101</v>
      </c>
      <c r="BX343" s="30">
        <v>-1326161</v>
      </c>
      <c r="BY343" s="30">
        <v>-1620755</v>
      </c>
      <c r="BZ343" s="32">
        <v>-1426038</v>
      </c>
      <c r="CA343" s="32">
        <v>-1231705</v>
      </c>
      <c r="CB343" s="32">
        <v>-1046946</v>
      </c>
      <c r="CC343" s="32">
        <v>-1289864</v>
      </c>
      <c r="CD343" s="32">
        <v>-1151083</v>
      </c>
      <c r="CE343" s="32">
        <v>-1078688</v>
      </c>
      <c r="CF343" s="32">
        <v>-858976</v>
      </c>
      <c r="CG343" s="32">
        <v>-1052788</v>
      </c>
      <c r="CH343" s="32">
        <v>-1030177</v>
      </c>
      <c r="CI343" s="32">
        <v>-859801</v>
      </c>
      <c r="CJ343" s="32">
        <v>-657608</v>
      </c>
      <c r="CK343" s="32">
        <v>-1030298</v>
      </c>
      <c r="CL343" s="32">
        <v>-1050012</v>
      </c>
      <c r="CM343" s="32">
        <v>-683279</v>
      </c>
      <c r="CN343" s="32">
        <v>-429503</v>
      </c>
      <c r="CO343" s="32">
        <v>-596428</v>
      </c>
      <c r="CP343" s="32">
        <v>-486414</v>
      </c>
      <c r="CQ343" s="32">
        <v>-398218</v>
      </c>
      <c r="CR343" s="32">
        <v>-321301</v>
      </c>
      <c r="CS343" s="32">
        <v>-415921</v>
      </c>
      <c r="CT343" s="32">
        <v>-386669</v>
      </c>
      <c r="CU343" s="32">
        <v>-333337</v>
      </c>
      <c r="CV343" s="32">
        <v>-248407</v>
      </c>
    </row>
    <row r="344" spans="69:100" ht="19" customHeight="1" x14ac:dyDescent="0.35">
      <c r="BQ344" s="1" t="str">
        <f t="shared" si="45"/>
        <v>CEMIG D | Pessoal</v>
      </c>
      <c r="BT344" s="390"/>
      <c r="BV344" s="36" t="s">
        <v>109</v>
      </c>
      <c r="BW344" s="30">
        <v>-286082</v>
      </c>
      <c r="BX344" s="30">
        <v>-241117</v>
      </c>
      <c r="BY344" s="30">
        <v>-276227</v>
      </c>
      <c r="BZ344" s="32">
        <v>-221850</v>
      </c>
      <c r="CA344" s="32">
        <v>-264523</v>
      </c>
      <c r="CB344" s="32">
        <v>-233470</v>
      </c>
      <c r="CC344" s="32">
        <v>-255674</v>
      </c>
      <c r="CD344" s="32">
        <v>-222614</v>
      </c>
      <c r="CE344" s="32">
        <v>-283162</v>
      </c>
      <c r="CF344" s="32">
        <v>-210154</v>
      </c>
      <c r="CG344" s="32">
        <v>-228602</v>
      </c>
      <c r="CH344" s="32">
        <v>-204185</v>
      </c>
      <c r="CI344" s="32">
        <v>-217072</v>
      </c>
      <c r="CJ344" s="32">
        <v>-224665</v>
      </c>
      <c r="CK344" s="32">
        <v>-247828</v>
      </c>
      <c r="CL344" s="32">
        <v>-208313</v>
      </c>
      <c r="CM344" s="32">
        <v>-256948</v>
      </c>
      <c r="CN344" s="32">
        <v>-200016</v>
      </c>
      <c r="CO344" s="32">
        <v>-222388</v>
      </c>
      <c r="CP344" s="32">
        <v>-169685</v>
      </c>
      <c r="CQ344" s="32">
        <v>-242165</v>
      </c>
      <c r="CR344" s="32">
        <v>-212509</v>
      </c>
      <c r="CS344" s="32">
        <v>-234298</v>
      </c>
      <c r="CT344" s="32">
        <v>-200221</v>
      </c>
      <c r="CU344" s="32">
        <v>-235732</v>
      </c>
      <c r="CV344" s="32">
        <v>-215679</v>
      </c>
    </row>
    <row r="345" spans="69:100" ht="19" customHeight="1" x14ac:dyDescent="0.35">
      <c r="BQ345" s="1" t="str">
        <f t="shared" si="45"/>
        <v>CEMIG D | Participação de empregados e administradores no resultado</v>
      </c>
      <c r="BT345" s="390"/>
      <c r="BV345" s="36" t="s">
        <v>110</v>
      </c>
      <c r="BW345" s="30">
        <v>-27394</v>
      </c>
      <c r="BX345" s="30">
        <v>-25514</v>
      </c>
      <c r="BY345" s="30">
        <v>-52449</v>
      </c>
      <c r="BZ345" s="32">
        <v>-24789</v>
      </c>
      <c r="CA345" s="32">
        <v>-26214</v>
      </c>
      <c r="CB345" s="32">
        <v>-25905</v>
      </c>
      <c r="CC345" s="32">
        <v>-21318</v>
      </c>
      <c r="CD345" s="32">
        <v>-24336</v>
      </c>
      <c r="CE345" s="32">
        <v>-29142</v>
      </c>
      <c r="CF345" s="32">
        <v>-25118</v>
      </c>
      <c r="CG345" s="32">
        <v>-23889</v>
      </c>
      <c r="CH345" s="32">
        <v>-27486</v>
      </c>
      <c r="CI345" s="32">
        <v>-25514</v>
      </c>
      <c r="CJ345" s="32">
        <v>-24614</v>
      </c>
      <c r="CK345" s="32">
        <v>22083</v>
      </c>
      <c r="CL345" s="32">
        <v>-10582</v>
      </c>
      <c r="CM345" s="32">
        <v>-27336</v>
      </c>
      <c r="CN345" s="32">
        <v>-23999</v>
      </c>
      <c r="CO345" s="32">
        <v>-19782</v>
      </c>
      <c r="CP345" s="32">
        <v>-38124</v>
      </c>
      <c r="CQ345" s="32">
        <v>-15946</v>
      </c>
      <c r="CR345" s="32">
        <v>-20097</v>
      </c>
      <c r="CS345" s="32">
        <v>-23248</v>
      </c>
      <c r="CT345" s="32">
        <v>-49836</v>
      </c>
      <c r="CU345" s="32">
        <v>-2810</v>
      </c>
      <c r="CV345" s="32">
        <v>-16401</v>
      </c>
    </row>
    <row r="346" spans="69:100" ht="19" customHeight="1" x14ac:dyDescent="0.35">
      <c r="BQ346" s="1" t="str">
        <f t="shared" si="45"/>
        <v>CEMIG D | Obrigações pós-emprego</v>
      </c>
      <c r="BT346" s="390"/>
      <c r="BV346" s="36" t="s">
        <v>111</v>
      </c>
      <c r="BW346" s="30">
        <v>-28897</v>
      </c>
      <c r="BX346" s="30">
        <v>-28897</v>
      </c>
      <c r="BY346" s="30">
        <v>780469</v>
      </c>
      <c r="BZ346" s="32">
        <v>-66190</v>
      </c>
      <c r="CA346" s="32">
        <v>-70954</v>
      </c>
      <c r="CB346" s="32">
        <v>-65266</v>
      </c>
      <c r="CC346" s="32">
        <v>-81171</v>
      </c>
      <c r="CD346" s="32">
        <v>-81391</v>
      </c>
      <c r="CE346" s="32">
        <v>-64219</v>
      </c>
      <c r="CF346" s="32">
        <v>-96053</v>
      </c>
      <c r="CG346" s="32">
        <v>-108557</v>
      </c>
      <c r="CH346" s="32">
        <v>-112323</v>
      </c>
      <c r="CI346" s="32">
        <v>-106017</v>
      </c>
      <c r="CJ346" s="32">
        <v>-73266</v>
      </c>
      <c r="CK346" s="32">
        <v>-105879</v>
      </c>
      <c r="CL346" s="32">
        <v>-110170</v>
      </c>
      <c r="CM346" s="32">
        <v>-100998</v>
      </c>
      <c r="CN346" s="32">
        <v>-102587</v>
      </c>
      <c r="CO346" s="32">
        <v>237808</v>
      </c>
      <c r="CP346" s="32">
        <v>-73527</v>
      </c>
      <c r="CQ346" s="32">
        <v>-73783</v>
      </c>
      <c r="CR346" s="32">
        <v>-71897</v>
      </c>
      <c r="CS346" s="32">
        <v>-70180</v>
      </c>
      <c r="CT346" s="32">
        <v>-74901</v>
      </c>
      <c r="CU346" s="32">
        <v>-80561</v>
      </c>
      <c r="CV346" s="32">
        <v>-71202</v>
      </c>
    </row>
    <row r="347" spans="69:100" ht="19" customHeight="1" x14ac:dyDescent="0.35">
      <c r="BQ347" s="1" t="str">
        <f t="shared" si="45"/>
        <v>CEMIG D | Materiais</v>
      </c>
      <c r="BT347" s="390"/>
      <c r="BV347" s="36" t="s">
        <v>77</v>
      </c>
      <c r="BW347" s="30">
        <v>-14805</v>
      </c>
      <c r="BX347" s="30">
        <v>-23532</v>
      </c>
      <c r="BY347" s="30">
        <v>-39574</v>
      </c>
      <c r="BZ347" s="32">
        <v>-22006</v>
      </c>
      <c r="CA347" s="32">
        <v>-16663</v>
      </c>
      <c r="CB347" s="32">
        <v>-32192</v>
      </c>
      <c r="CC347" s="32">
        <v>-27681</v>
      </c>
      <c r="CD347" s="32">
        <v>-26243</v>
      </c>
      <c r="CE347" s="32">
        <v>-26312</v>
      </c>
      <c r="CF347" s="32">
        <v>-22780</v>
      </c>
      <c r="CG347" s="32">
        <v>-42819</v>
      </c>
      <c r="CH347" s="32">
        <v>-21406</v>
      </c>
      <c r="CI347" s="32">
        <v>-25026</v>
      </c>
      <c r="CJ347" s="32">
        <v>-25335</v>
      </c>
      <c r="CK347" s="32">
        <v>-49160</v>
      </c>
      <c r="CL347" s="32">
        <v>-27646</v>
      </c>
      <c r="CM347" s="32">
        <v>-25060</v>
      </c>
      <c r="CN347" s="32">
        <v>-16261</v>
      </c>
      <c r="CO347" s="32">
        <v>-16156</v>
      </c>
      <c r="CP347" s="32">
        <v>-16534</v>
      </c>
      <c r="CQ347" s="32">
        <v>-16750</v>
      </c>
      <c r="CR347" s="32">
        <v>-15521</v>
      </c>
      <c r="CS347" s="32">
        <v>-16578</v>
      </c>
      <c r="CT347" s="32">
        <v>-16359</v>
      </c>
      <c r="CU347" s="32">
        <v>-12727</v>
      </c>
      <c r="CV347" s="32">
        <v>-15177</v>
      </c>
    </row>
    <row r="348" spans="69:100" ht="19" customHeight="1" x14ac:dyDescent="0.35">
      <c r="BQ348" s="1" t="str">
        <f t="shared" si="45"/>
        <v>CEMIG D | Serviços de terceiros</v>
      </c>
      <c r="BT348" s="390"/>
      <c r="BV348" s="36" t="s">
        <v>78</v>
      </c>
      <c r="BW348" s="30">
        <v>-541704</v>
      </c>
      <c r="BX348" s="30">
        <v>-511353</v>
      </c>
      <c r="BY348" s="30">
        <v>-569248</v>
      </c>
      <c r="BZ348" s="32">
        <v>-480207</v>
      </c>
      <c r="CA348" s="32">
        <v>-433342</v>
      </c>
      <c r="CB348" s="32">
        <v>-433418</v>
      </c>
      <c r="CC348" s="32">
        <v>-507773</v>
      </c>
      <c r="CD348" s="32">
        <v>-408928</v>
      </c>
      <c r="CE348" s="32">
        <v>-424793</v>
      </c>
      <c r="CF348" s="32">
        <v>-445590</v>
      </c>
      <c r="CG348" s="32">
        <v>-445808</v>
      </c>
      <c r="CH348" s="32">
        <v>-389523</v>
      </c>
      <c r="CI348" s="32">
        <v>-377212</v>
      </c>
      <c r="CJ348" s="32">
        <v>-401236</v>
      </c>
      <c r="CK348" s="32">
        <v>-429349</v>
      </c>
      <c r="CL348" s="32">
        <v>-338420</v>
      </c>
      <c r="CM348" s="32">
        <v>-328439</v>
      </c>
      <c r="CN348" s="32">
        <v>-323630</v>
      </c>
      <c r="CO348" s="32">
        <v>-335913</v>
      </c>
      <c r="CP348" s="32">
        <v>-291678</v>
      </c>
      <c r="CQ348" s="32">
        <v>-294492</v>
      </c>
      <c r="CR348" s="32">
        <v>-299855</v>
      </c>
      <c r="CS348" s="32">
        <v>-300194</v>
      </c>
      <c r="CT348" s="32">
        <v>-248896</v>
      </c>
      <c r="CU348" s="32">
        <v>-254119</v>
      </c>
      <c r="CV348" s="32">
        <v>-252181</v>
      </c>
    </row>
    <row r="349" spans="69:100" ht="19" customHeight="1" x14ac:dyDescent="0.35">
      <c r="BQ349" s="1" t="str">
        <f t="shared" si="45"/>
        <v>CEMIG D | Amortização</v>
      </c>
      <c r="BT349" s="390"/>
      <c r="BV349" s="36" t="s">
        <v>112</v>
      </c>
      <c r="BW349" s="30">
        <v>-268765</v>
      </c>
      <c r="BX349" s="30">
        <v>-262073</v>
      </c>
      <c r="BY349" s="30">
        <v>-277931</v>
      </c>
      <c r="BZ349" s="32">
        <v>-249552</v>
      </c>
      <c r="CA349" s="32">
        <v>-242108</v>
      </c>
      <c r="CB349" s="32">
        <v>-236570</v>
      </c>
      <c r="CC349" s="32">
        <v>-240806</v>
      </c>
      <c r="CD349" s="32">
        <v>-219539</v>
      </c>
      <c r="CE349" s="32">
        <v>-213654</v>
      </c>
      <c r="CF349" s="32">
        <v>-206659</v>
      </c>
      <c r="CG349" s="32">
        <v>-227952</v>
      </c>
      <c r="CH349" s="32">
        <v>-195783</v>
      </c>
      <c r="CI349" s="32">
        <v>-187442</v>
      </c>
      <c r="CJ349" s="32">
        <v>-186645</v>
      </c>
      <c r="CK349" s="32">
        <v>-189764</v>
      </c>
      <c r="CL349" s="32">
        <v>-178456</v>
      </c>
      <c r="CM349" s="32">
        <v>-167632</v>
      </c>
      <c r="CN349" s="32">
        <v>-164098</v>
      </c>
      <c r="CO349" s="32">
        <v>-170389</v>
      </c>
      <c r="CP349" s="32">
        <v>-159933</v>
      </c>
      <c r="CQ349" s="32">
        <v>-156675</v>
      </c>
      <c r="CR349" s="32">
        <v>-155054</v>
      </c>
      <c r="CS349" s="32">
        <v>-161213</v>
      </c>
      <c r="CT349" s="32">
        <v>-155264</v>
      </c>
      <c r="CU349" s="32">
        <v>-153903</v>
      </c>
      <c r="CV349" s="32">
        <v>-150934</v>
      </c>
    </row>
    <row r="350" spans="69:100" ht="19" customHeight="1" x14ac:dyDescent="0.35">
      <c r="BQ350" s="1" t="str">
        <f t="shared" si="45"/>
        <v>CEMIG D | Amortização direito de uso - arrendamento</v>
      </c>
      <c r="BT350" s="390"/>
      <c r="BV350" s="36" t="s">
        <v>113</v>
      </c>
      <c r="BW350" s="30">
        <v>-13030</v>
      </c>
      <c r="BX350" s="30">
        <v>-12624</v>
      </c>
      <c r="BY350" s="30">
        <v>-12529</v>
      </c>
      <c r="BZ350" s="32">
        <v>-12451</v>
      </c>
      <c r="CA350" s="32">
        <v>-12265</v>
      </c>
      <c r="CB350" s="32">
        <v>-10921</v>
      </c>
      <c r="CC350" s="32">
        <v>-10705</v>
      </c>
      <c r="CD350" s="32">
        <v>-10558</v>
      </c>
      <c r="CE350" s="32">
        <v>-10459</v>
      </c>
      <c r="CF350" s="32">
        <v>-9540</v>
      </c>
      <c r="CG350" s="32">
        <v>-9532</v>
      </c>
      <c r="CH350" s="32">
        <v>-9476</v>
      </c>
      <c r="CI350" s="32">
        <v>-9432</v>
      </c>
      <c r="CJ350" s="32">
        <v>-7595</v>
      </c>
      <c r="CK350" s="32">
        <v>-5758</v>
      </c>
      <c r="CL350" s="32">
        <v>-9791</v>
      </c>
      <c r="CM350" s="32">
        <v>-11249</v>
      </c>
      <c r="CN350" s="32">
        <v>-11277</v>
      </c>
      <c r="CO350" s="32">
        <v>-11287</v>
      </c>
      <c r="CP350" s="32">
        <v>-10857</v>
      </c>
      <c r="CQ350" s="32">
        <v>-9197</v>
      </c>
      <c r="CR350" s="32">
        <v>-9203</v>
      </c>
      <c r="CS350" s="32">
        <v>-10851</v>
      </c>
      <c r="CT350" s="32">
        <v>-11953</v>
      </c>
      <c r="CU350" s="32">
        <v>-12148</v>
      </c>
      <c r="CV350" s="32">
        <v>-12148</v>
      </c>
    </row>
    <row r="351" spans="69:100" ht="19" customHeight="1" x14ac:dyDescent="0.35">
      <c r="BQ351" s="1" t="str">
        <f t="shared" si="45"/>
        <v>CEMIG D | Provisões para contingências</v>
      </c>
      <c r="BT351" s="390"/>
      <c r="BV351" s="36" t="s">
        <v>114</v>
      </c>
      <c r="BW351" s="30">
        <v>-22434</v>
      </c>
      <c r="BX351" s="30">
        <v>-68842</v>
      </c>
      <c r="BY351" s="30">
        <v>-222386</v>
      </c>
      <c r="BZ351" s="32">
        <v>-80109</v>
      </c>
      <c r="CA351" s="32">
        <v>-55153</v>
      </c>
      <c r="CB351" s="32">
        <v>-104735</v>
      </c>
      <c r="CC351" s="32">
        <v>-77861</v>
      </c>
      <c r="CD351" s="32">
        <v>-70334</v>
      </c>
      <c r="CE351" s="32">
        <v>459529</v>
      </c>
      <c r="CF351" s="32">
        <v>-105968</v>
      </c>
      <c r="CG351" s="32">
        <v>-76397</v>
      </c>
      <c r="CH351" s="32">
        <v>-76041</v>
      </c>
      <c r="CI351" s="32">
        <v>-77111</v>
      </c>
      <c r="CJ351" s="32">
        <v>-55902</v>
      </c>
      <c r="CK351" s="32">
        <v>1332666</v>
      </c>
      <c r="CL351" s="32">
        <v>-84698</v>
      </c>
      <c r="CM351" s="32">
        <v>-1454380</v>
      </c>
      <c r="CN351" s="32">
        <v>-61178</v>
      </c>
      <c r="CO351" s="32">
        <v>-33825</v>
      </c>
      <c r="CP351" s="32">
        <v>-8077</v>
      </c>
      <c r="CQ351" s="32">
        <v>-31490</v>
      </c>
      <c r="CR351" s="32">
        <v>26066</v>
      </c>
      <c r="CS351" s="32">
        <v>-49502</v>
      </c>
      <c r="CT351" s="32">
        <v>-35480</v>
      </c>
      <c r="CU351" s="32">
        <v>-22426</v>
      </c>
      <c r="CV351" s="32">
        <v>-29603</v>
      </c>
    </row>
    <row r="352" spans="69:100" ht="19" customHeight="1" x14ac:dyDescent="0.35">
      <c r="BQ352" s="1" t="str">
        <f t="shared" si="45"/>
        <v>CEMIG D | Perdas de créditos esperadas</v>
      </c>
      <c r="BT352" s="390"/>
      <c r="BV352" s="36" t="s">
        <v>82</v>
      </c>
      <c r="BW352" s="30">
        <v>175156</v>
      </c>
      <c r="BX352" s="30">
        <v>-82512</v>
      </c>
      <c r="BY352" s="30">
        <v>-37878</v>
      </c>
      <c r="BZ352" s="32">
        <v>-60464</v>
      </c>
      <c r="CA352" s="32">
        <v>-2184</v>
      </c>
      <c r="CB352" s="32">
        <v>-57779</v>
      </c>
      <c r="CC352" s="32">
        <v>-84084</v>
      </c>
      <c r="CD352" s="32">
        <v>47676</v>
      </c>
      <c r="CE352" s="32">
        <v>-80623</v>
      </c>
      <c r="CF352" s="32">
        <v>-85425</v>
      </c>
      <c r="CG352" s="32">
        <v>-96539</v>
      </c>
      <c r="CH352" s="32">
        <v>-41143</v>
      </c>
      <c r="CI352" s="32">
        <v>-28638</v>
      </c>
      <c r="CJ352" s="32">
        <v>-10751</v>
      </c>
      <c r="CK352" s="32">
        <v>-79760</v>
      </c>
      <c r="CL352" s="32">
        <v>82260</v>
      </c>
      <c r="CM352" s="32">
        <v>-89450</v>
      </c>
      <c r="CN352" s="32">
        <v>-44259</v>
      </c>
      <c r="CO352" s="32">
        <v>-84802</v>
      </c>
      <c r="CP352" s="32">
        <v>-29676</v>
      </c>
      <c r="CQ352" s="32">
        <v>7789</v>
      </c>
      <c r="CR352" s="32">
        <v>-44178</v>
      </c>
      <c r="CS352" s="32">
        <v>-89433</v>
      </c>
      <c r="CT352" s="32">
        <v>152817</v>
      </c>
      <c r="CU352" s="32">
        <v>-102504</v>
      </c>
      <c r="CV352" s="32">
        <v>-96145</v>
      </c>
    </row>
    <row r="353" spans="69:100" ht="19" customHeight="1" x14ac:dyDescent="0.35">
      <c r="BQ353" s="1" t="str">
        <f t="shared" si="45"/>
        <v>CEMIG D | Perda esperada com outros créditos</v>
      </c>
      <c r="BT353" s="390"/>
      <c r="BV353" s="36" t="s">
        <v>83</v>
      </c>
      <c r="BW353" s="30">
        <v>-45855</v>
      </c>
      <c r="BX353" s="30">
        <v>-34534</v>
      </c>
      <c r="BY353" s="30">
        <v>-21387</v>
      </c>
      <c r="BZ353" s="32">
        <v>-24616</v>
      </c>
      <c r="CA353" s="32">
        <v>-30126</v>
      </c>
      <c r="CB353" s="32">
        <v>0</v>
      </c>
      <c r="CC353" s="32">
        <v>0</v>
      </c>
      <c r="CD353" s="32">
        <v>0</v>
      </c>
      <c r="CE353" s="32">
        <v>0</v>
      </c>
      <c r="CF353" s="32">
        <v>0</v>
      </c>
      <c r="CG353" s="32">
        <v>0</v>
      </c>
      <c r="CH353" s="32">
        <v>0</v>
      </c>
      <c r="CI353" s="32">
        <v>0</v>
      </c>
      <c r="CJ353" s="32">
        <v>0</v>
      </c>
      <c r="CK353" s="32">
        <v>0</v>
      </c>
      <c r="CL353" s="32">
        <v>0</v>
      </c>
      <c r="CM353" s="32">
        <v>0</v>
      </c>
      <c r="CN353" s="32">
        <v>0</v>
      </c>
      <c r="CO353" s="32">
        <v>0</v>
      </c>
      <c r="CP353" s="32">
        <v>0</v>
      </c>
      <c r="CQ353" s="32">
        <v>0</v>
      </c>
      <c r="CR353" s="32">
        <v>0</v>
      </c>
      <c r="CS353" s="32">
        <v>0</v>
      </c>
      <c r="CT353" s="32">
        <v>0</v>
      </c>
      <c r="CU353" s="32">
        <v>0</v>
      </c>
      <c r="CV353" s="32">
        <v>0</v>
      </c>
    </row>
    <row r="354" spans="69:100" ht="19" customHeight="1" x14ac:dyDescent="0.35">
      <c r="BQ354" s="1" t="str">
        <f t="shared" si="45"/>
        <v>CEMIG D | Outras despesas</v>
      </c>
      <c r="BT354" s="390"/>
      <c r="BV354" s="36" t="s">
        <v>115</v>
      </c>
      <c r="BW354" s="30">
        <v>-113635</v>
      </c>
      <c r="BX354" s="30">
        <v>-119200</v>
      </c>
      <c r="BY354" s="30">
        <v>-140265</v>
      </c>
      <c r="BZ354" s="32">
        <v>-74592</v>
      </c>
      <c r="CA354" s="32">
        <v>-125727</v>
      </c>
      <c r="CB354" s="32">
        <v>-76580</v>
      </c>
      <c r="CC354" s="32">
        <v>-140648</v>
      </c>
      <c r="CD354" s="32">
        <v>-100504</v>
      </c>
      <c r="CE354" s="32">
        <v>-75505</v>
      </c>
      <c r="CF354" s="32">
        <v>-98943</v>
      </c>
      <c r="CG354" s="32">
        <v>-153354</v>
      </c>
      <c r="CH354" s="32">
        <v>-86514</v>
      </c>
      <c r="CI354" s="32">
        <v>-106094</v>
      </c>
      <c r="CJ354" s="32">
        <v>-75196</v>
      </c>
      <c r="CK354" s="32">
        <v>-123911</v>
      </c>
      <c r="CL354" s="32">
        <v>-56809</v>
      </c>
      <c r="CM354" s="32">
        <v>-41995</v>
      </c>
      <c r="CN354" s="32">
        <v>-24918</v>
      </c>
      <c r="CO354" s="32">
        <v>-88993</v>
      </c>
      <c r="CP354" s="32">
        <v>-54401</v>
      </c>
      <c r="CQ354" s="32">
        <v>-49746</v>
      </c>
      <c r="CR354" s="32">
        <v>-43767</v>
      </c>
      <c r="CS354" s="32">
        <v>-88941</v>
      </c>
      <c r="CT354" s="32">
        <v>-42508</v>
      </c>
      <c r="CU354" s="32">
        <v>-34870</v>
      </c>
      <c r="CV354" s="32">
        <v>-46108</v>
      </c>
    </row>
    <row r="355" spans="69:100" ht="19" customHeight="1" x14ac:dyDescent="0.35">
      <c r="BQ355" s="1" t="str">
        <f t="shared" si="45"/>
        <v>CEMIG D | Outras receitas</v>
      </c>
      <c r="BV355" s="7" t="s">
        <v>68</v>
      </c>
      <c r="BW355" s="77">
        <f>BW356</f>
        <v>0</v>
      </c>
      <c r="BX355" s="77">
        <f>BX356</f>
        <v>26191</v>
      </c>
      <c r="BY355" s="30">
        <v>0</v>
      </c>
      <c r="BZ355" s="30">
        <v>0</v>
      </c>
      <c r="CA355" s="30">
        <v>0</v>
      </c>
      <c r="CB355" s="30">
        <v>0</v>
      </c>
      <c r="CC355" s="30">
        <v>0</v>
      </c>
      <c r="CD355" s="30">
        <v>0</v>
      </c>
      <c r="CE355" s="30">
        <v>0</v>
      </c>
      <c r="CF355" s="30">
        <v>0</v>
      </c>
      <c r="CG355" s="30">
        <v>0</v>
      </c>
      <c r="CH355" s="30">
        <v>0</v>
      </c>
      <c r="CI355" s="30">
        <v>0</v>
      </c>
      <c r="CJ355" s="30">
        <v>0</v>
      </c>
      <c r="CK355" s="30">
        <v>0</v>
      </c>
      <c r="CL355" s="30">
        <v>0</v>
      </c>
      <c r="CM355" s="30">
        <v>0</v>
      </c>
      <c r="CN355" s="30">
        <v>0</v>
      </c>
      <c r="CO355" s="30">
        <v>0</v>
      </c>
      <c r="CP355" s="30">
        <v>0</v>
      </c>
      <c r="CQ355" s="30">
        <v>0</v>
      </c>
      <c r="CR355" s="30">
        <v>0</v>
      </c>
      <c r="CS355" s="30">
        <v>0</v>
      </c>
      <c r="CT355" s="30">
        <v>0</v>
      </c>
      <c r="CU355" s="30">
        <v>0</v>
      </c>
      <c r="CV355" s="30">
        <v>0</v>
      </c>
    </row>
    <row r="356" spans="69:100" ht="19" customHeight="1" x14ac:dyDescent="0.35">
      <c r="BQ356" s="1" t="str">
        <f t="shared" si="45"/>
        <v>CEMIG D | Ganho na alienação de intangíveis</v>
      </c>
      <c r="BV356" s="6" t="s">
        <v>91</v>
      </c>
      <c r="BW356" s="30">
        <v>0</v>
      </c>
      <c r="BX356" s="30">
        <v>26191</v>
      </c>
      <c r="BY356" s="30">
        <v>0</v>
      </c>
      <c r="BZ356" s="30">
        <v>0</v>
      </c>
      <c r="CA356" s="30">
        <v>0</v>
      </c>
      <c r="CB356" s="30">
        <v>0</v>
      </c>
      <c r="CC356" s="30">
        <v>0</v>
      </c>
      <c r="CD356" s="30">
        <v>0</v>
      </c>
      <c r="CE356" s="30">
        <v>0</v>
      </c>
      <c r="CF356" s="30">
        <v>0</v>
      </c>
      <c r="CG356" s="30">
        <v>0</v>
      </c>
      <c r="CH356" s="30">
        <v>0</v>
      </c>
      <c r="CI356" s="30">
        <v>0</v>
      </c>
      <c r="CJ356" s="30">
        <v>0</v>
      </c>
      <c r="CK356" s="30">
        <v>0</v>
      </c>
      <c r="CL356" s="30">
        <v>0</v>
      </c>
      <c r="CM356" s="30">
        <v>0</v>
      </c>
      <c r="CN356" s="30">
        <v>0</v>
      </c>
      <c r="CO356" s="30">
        <v>0</v>
      </c>
      <c r="CP356" s="30">
        <v>0</v>
      </c>
      <c r="CQ356" s="30">
        <v>0</v>
      </c>
      <c r="CR356" s="30">
        <v>0</v>
      </c>
      <c r="CS356" s="30">
        <v>0</v>
      </c>
      <c r="CT356" s="30">
        <v>0</v>
      </c>
      <c r="CU356" s="30">
        <v>0</v>
      </c>
      <c r="CV356" s="30">
        <v>0</v>
      </c>
    </row>
    <row r="357" spans="69:100" ht="25" customHeight="1" x14ac:dyDescent="0.35">
      <c r="BV357" s="42" t="s">
        <v>9</v>
      </c>
      <c r="BW357" s="52">
        <f>IFERROR(SUM(BW329,BW340),0)</f>
        <v>1194955</v>
      </c>
      <c r="BX357" s="52">
        <f>IFERROR(SUM(BX329,BX340),0)</f>
        <v>735699</v>
      </c>
      <c r="BY357" s="52">
        <f>IFERROR(SUM(BY329,BY340),0)</f>
        <v>1409590</v>
      </c>
      <c r="BZ357" s="52">
        <f t="shared" ref="BZ357:CV357" si="46">IFERROR(SUM(BZ329,BZ340),0)</f>
        <v>496474</v>
      </c>
      <c r="CA357" s="52">
        <f t="shared" si="46"/>
        <v>986587</v>
      </c>
      <c r="CB357" s="52">
        <f t="shared" si="46"/>
        <v>571861</v>
      </c>
      <c r="CC357" s="52">
        <f t="shared" si="46"/>
        <v>706263</v>
      </c>
      <c r="CD357" s="52">
        <f t="shared" si="46"/>
        <v>543291</v>
      </c>
      <c r="CE357" s="52">
        <f t="shared" si="46"/>
        <v>1105141</v>
      </c>
      <c r="CF357" s="52">
        <f t="shared" si="46"/>
        <v>530291</v>
      </c>
      <c r="CG357" s="52">
        <f t="shared" si="46"/>
        <v>567108</v>
      </c>
      <c r="CH357" s="52">
        <f t="shared" si="46"/>
        <v>630329</v>
      </c>
      <c r="CI357" s="52">
        <f t="shared" si="46"/>
        <v>491449</v>
      </c>
      <c r="CJ357" s="52">
        <f t="shared" si="46"/>
        <v>580848</v>
      </c>
      <c r="CK357" s="52">
        <f t="shared" si="46"/>
        <v>1434567</v>
      </c>
      <c r="CL357" s="52">
        <f t="shared" si="46"/>
        <v>670732</v>
      </c>
      <c r="CM357" s="52">
        <f t="shared" si="46"/>
        <v>-1092297</v>
      </c>
      <c r="CN357" s="52">
        <f t="shared" si="46"/>
        <v>479154</v>
      </c>
      <c r="CO357" s="52">
        <f t="shared" si="46"/>
        <v>805308</v>
      </c>
      <c r="CP357" s="52">
        <f t="shared" si="46"/>
        <v>551871</v>
      </c>
      <c r="CQ357" s="52">
        <f t="shared" si="46"/>
        <v>424711</v>
      </c>
      <c r="CR357" s="52">
        <f t="shared" si="46"/>
        <v>581046</v>
      </c>
      <c r="CS357" s="52">
        <f t="shared" si="46"/>
        <v>291041</v>
      </c>
      <c r="CT357" s="52">
        <f t="shared" si="46"/>
        <v>635579</v>
      </c>
      <c r="CU357" s="52">
        <f t="shared" si="46"/>
        <v>364645</v>
      </c>
      <c r="CV357" s="52">
        <f t="shared" si="46"/>
        <v>331634</v>
      </c>
    </row>
    <row r="358" spans="69:100" ht="25" customHeight="1" x14ac:dyDescent="0.35">
      <c r="BV358" s="42" t="s">
        <v>10</v>
      </c>
      <c r="BW358" s="52">
        <f>IFERROR(SUM(BW359:BW360),0)</f>
        <v>-608194</v>
      </c>
      <c r="BX358" s="52">
        <f>IFERROR(SUM(BX359:BX360),0)</f>
        <v>-283611</v>
      </c>
      <c r="BY358" s="52">
        <f>IFERROR(SUM(BY359:BY360),0)</f>
        <v>-218302</v>
      </c>
      <c r="BZ358" s="52">
        <f>IFERROR(SUM(BZ359:BZ360),0)</f>
        <v>-208460</v>
      </c>
      <c r="CA358" s="52">
        <f>IFERROR(SUM(CA359:CA360),0)</f>
        <v>-288643</v>
      </c>
      <c r="CB358" s="52">
        <f t="shared" ref="CB358:CK358" si="47">IFERROR(SUM(CB359:CB360),0)</f>
        <v>-202096</v>
      </c>
      <c r="CC358" s="52">
        <f t="shared" si="47"/>
        <v>-137897</v>
      </c>
      <c r="CD358" s="52">
        <f t="shared" si="47"/>
        <v>-75596</v>
      </c>
      <c r="CE358" s="52">
        <f t="shared" si="47"/>
        <v>305458</v>
      </c>
      <c r="CF358" s="52">
        <f t="shared" si="47"/>
        <v>-108780</v>
      </c>
      <c r="CG358" s="52">
        <f t="shared" si="47"/>
        <v>-72913</v>
      </c>
      <c r="CH358" s="52">
        <f t="shared" si="47"/>
        <v>-99429</v>
      </c>
      <c r="CI358" s="52">
        <f t="shared" si="47"/>
        <v>11565</v>
      </c>
      <c r="CJ358" s="52">
        <f t="shared" si="47"/>
        <v>-92348</v>
      </c>
      <c r="CK358" s="52">
        <f t="shared" si="47"/>
        <v>-819126</v>
      </c>
      <c r="CL358" s="52">
        <f>IFERROR(SUM(CL359:CL360),0)</f>
        <v>11465</v>
      </c>
      <c r="CM358" s="52">
        <f t="shared" ref="CM358:CV358" si="48">IFERROR(SUM(CM359:CM360),0)</f>
        <v>-332387</v>
      </c>
      <c r="CN358" s="52">
        <f t="shared" si="48"/>
        <v>24803</v>
      </c>
      <c r="CO358" s="52">
        <f t="shared" si="48"/>
        <v>-20596</v>
      </c>
      <c r="CP358" s="52">
        <f t="shared" si="48"/>
        <v>2606</v>
      </c>
      <c r="CQ358" s="52">
        <f t="shared" si="48"/>
        <v>49913</v>
      </c>
      <c r="CR358" s="52">
        <f t="shared" si="48"/>
        <v>-39455</v>
      </c>
      <c r="CS358" s="52">
        <f t="shared" si="48"/>
        <v>-19035</v>
      </c>
      <c r="CT358" s="52">
        <f t="shared" si="48"/>
        <v>3348</v>
      </c>
      <c r="CU358" s="52">
        <f t="shared" si="48"/>
        <v>59071</v>
      </c>
      <c r="CV358" s="52">
        <f t="shared" si="48"/>
        <v>-34416</v>
      </c>
    </row>
    <row r="359" spans="69:100" ht="19" customHeight="1" x14ac:dyDescent="0.35">
      <c r="BQ359" s="1" t="str">
        <f>_xlfn.CONCAT($BV$326," | ",BV359)</f>
        <v>CEMIG D | Receitas financeiras</v>
      </c>
      <c r="BV359" s="36" t="s">
        <v>11</v>
      </c>
      <c r="BW359" s="32">
        <v>253892</v>
      </c>
      <c r="BX359" s="32">
        <v>212630</v>
      </c>
      <c r="BY359" s="32">
        <v>190732</v>
      </c>
      <c r="BZ359" s="32">
        <v>203320</v>
      </c>
      <c r="CA359" s="32">
        <v>232834</v>
      </c>
      <c r="CB359" s="32">
        <v>166155</v>
      </c>
      <c r="CC359" s="32">
        <v>160780</v>
      </c>
      <c r="CD359" s="32">
        <v>133816</v>
      </c>
      <c r="CE359" s="32">
        <v>566796</v>
      </c>
      <c r="CF359" s="32">
        <v>123196</v>
      </c>
      <c r="CG359" s="32">
        <v>110203</v>
      </c>
      <c r="CH359" s="32">
        <v>159821</v>
      </c>
      <c r="CI359" s="32">
        <v>189527</v>
      </c>
      <c r="CJ359" s="32">
        <v>124238</v>
      </c>
      <c r="CK359" s="32">
        <v>190022</v>
      </c>
      <c r="CL359" s="32">
        <v>195706</v>
      </c>
      <c r="CM359" s="32">
        <v>218830</v>
      </c>
      <c r="CN359" s="32">
        <v>186327</v>
      </c>
      <c r="CO359" s="32">
        <v>158632</v>
      </c>
      <c r="CP359" s="32">
        <v>186487</v>
      </c>
      <c r="CQ359" s="32">
        <v>185337</v>
      </c>
      <c r="CR359" s="32">
        <v>126899</v>
      </c>
      <c r="CS359" s="32">
        <v>106795</v>
      </c>
      <c r="CT359" s="32">
        <v>128498</v>
      </c>
      <c r="CU359" s="32">
        <v>156874</v>
      </c>
      <c r="CV359" s="32">
        <v>128024</v>
      </c>
    </row>
    <row r="360" spans="69:100" ht="19" customHeight="1" x14ac:dyDescent="0.35">
      <c r="BQ360" s="1" t="str">
        <f>_xlfn.CONCAT($BV$326," | ",BV360)</f>
        <v>CEMIG D | Despesas financeiras</v>
      </c>
      <c r="BV360" s="36" t="s">
        <v>12</v>
      </c>
      <c r="BW360" s="32">
        <v>-862086</v>
      </c>
      <c r="BX360" s="32">
        <v>-496241</v>
      </c>
      <c r="BY360" s="32">
        <v>-409034</v>
      </c>
      <c r="BZ360" s="32">
        <v>-411780</v>
      </c>
      <c r="CA360" s="32">
        <v>-521477</v>
      </c>
      <c r="CB360" s="32">
        <v>-368251</v>
      </c>
      <c r="CC360" s="32">
        <v>-298677</v>
      </c>
      <c r="CD360" s="32">
        <v>-209412</v>
      </c>
      <c r="CE360" s="32">
        <v>-261338</v>
      </c>
      <c r="CF360" s="32">
        <v>-231976</v>
      </c>
      <c r="CG360" s="32">
        <v>-183116</v>
      </c>
      <c r="CH360" s="32">
        <v>-259250</v>
      </c>
      <c r="CI360" s="32">
        <v>-177962</v>
      </c>
      <c r="CJ360" s="32">
        <v>-216586</v>
      </c>
      <c r="CK360" s="32">
        <v>-1009148</v>
      </c>
      <c r="CL360" s="32">
        <v>-184241</v>
      </c>
      <c r="CM360" s="32">
        <v>-551217</v>
      </c>
      <c r="CN360" s="32">
        <v>-161524</v>
      </c>
      <c r="CO360" s="32">
        <v>-179228</v>
      </c>
      <c r="CP360" s="32">
        <v>-183881</v>
      </c>
      <c r="CQ360" s="32">
        <v>-135424</v>
      </c>
      <c r="CR360" s="32">
        <v>-166354</v>
      </c>
      <c r="CS360" s="32">
        <v>-125830</v>
      </c>
      <c r="CT360" s="32">
        <v>-125150</v>
      </c>
      <c r="CU360" s="32">
        <v>-97803</v>
      </c>
      <c r="CV360" s="32">
        <v>-162440</v>
      </c>
    </row>
    <row r="361" spans="69:100" ht="25" customHeight="1" x14ac:dyDescent="0.35">
      <c r="BV361" s="42" t="s">
        <v>13</v>
      </c>
      <c r="BW361" s="52">
        <f>IFERROR(SUM(BW357:BW358),0)</f>
        <v>586761</v>
      </c>
      <c r="BX361" s="52">
        <f>IFERROR(SUM(BX357:BX358),0)</f>
        <v>452088</v>
      </c>
      <c r="BY361" s="52">
        <f>IFERROR(SUM(BY357:BY358),0)</f>
        <v>1191288</v>
      </c>
      <c r="BZ361" s="52">
        <f t="shared" ref="BZ361:CU361" si="49">IFERROR(SUM(BZ357:BZ358),0)</f>
        <v>288014</v>
      </c>
      <c r="CA361" s="52">
        <f t="shared" si="49"/>
        <v>697944</v>
      </c>
      <c r="CB361" s="52">
        <f t="shared" si="49"/>
        <v>369765</v>
      </c>
      <c r="CC361" s="52">
        <f t="shared" si="49"/>
        <v>568366</v>
      </c>
      <c r="CD361" s="52">
        <f t="shared" si="49"/>
        <v>467695</v>
      </c>
      <c r="CE361" s="52">
        <f t="shared" si="49"/>
        <v>1410599</v>
      </c>
      <c r="CF361" s="52">
        <f t="shared" si="49"/>
        <v>421511</v>
      </c>
      <c r="CG361" s="52">
        <f t="shared" si="49"/>
        <v>494195</v>
      </c>
      <c r="CH361" s="52">
        <f t="shared" si="49"/>
        <v>530900</v>
      </c>
      <c r="CI361" s="52">
        <f t="shared" si="49"/>
        <v>503014</v>
      </c>
      <c r="CJ361" s="52">
        <f t="shared" si="49"/>
        <v>488500</v>
      </c>
      <c r="CK361" s="52">
        <f t="shared" si="49"/>
        <v>615441</v>
      </c>
      <c r="CL361" s="52">
        <f t="shared" si="49"/>
        <v>682197</v>
      </c>
      <c r="CM361" s="52">
        <f t="shared" si="49"/>
        <v>-1424684</v>
      </c>
      <c r="CN361" s="52">
        <f t="shared" si="49"/>
        <v>503957</v>
      </c>
      <c r="CO361" s="52">
        <f t="shared" si="49"/>
        <v>784712</v>
      </c>
      <c r="CP361" s="52">
        <f t="shared" si="49"/>
        <v>554477</v>
      </c>
      <c r="CQ361" s="52">
        <f t="shared" si="49"/>
        <v>474624</v>
      </c>
      <c r="CR361" s="52">
        <f t="shared" si="49"/>
        <v>541591</v>
      </c>
      <c r="CS361" s="52">
        <f t="shared" si="49"/>
        <v>272006</v>
      </c>
      <c r="CT361" s="52">
        <f t="shared" si="49"/>
        <v>638927</v>
      </c>
      <c r="CU361" s="52">
        <f t="shared" si="49"/>
        <v>423716</v>
      </c>
      <c r="CV361" s="52">
        <f>IFERROR(SUM(CV357:CV358),0)</f>
        <v>297218</v>
      </c>
    </row>
    <row r="362" spans="69:100" ht="25" customHeight="1" x14ac:dyDescent="0.35">
      <c r="BV362" s="18" t="s">
        <v>97</v>
      </c>
      <c r="BW362" s="52">
        <f>IFERROR(SUM(BW363:BW364),0)</f>
        <v>-103627</v>
      </c>
      <c r="BX362" s="52">
        <f>IFERROR(SUM(BX363:BX364),0)</f>
        <v>-54435</v>
      </c>
      <c r="BY362" s="52">
        <f>IFERROR(SUM(BY363:BY364),0)</f>
        <v>-213926</v>
      </c>
      <c r="BZ362" s="52">
        <f>IFERROR(SUM(BZ363:BZ364),0)</f>
        <v>-5915</v>
      </c>
      <c r="CA362" s="52">
        <f t="shared" ref="CA362:CK362" si="50">IFERROR(SUM(CA363:CA364),0)</f>
        <v>-147390</v>
      </c>
      <c r="CB362" s="52">
        <f t="shared" si="50"/>
        <v>-58607</v>
      </c>
      <c r="CC362" s="52">
        <f t="shared" si="50"/>
        <v>-1500071</v>
      </c>
      <c r="CD362" s="52">
        <f t="shared" si="50"/>
        <v>-95972</v>
      </c>
      <c r="CE362" s="52">
        <f t="shared" si="50"/>
        <v>-350163</v>
      </c>
      <c r="CF362" s="52">
        <f t="shared" si="50"/>
        <v>-99173</v>
      </c>
      <c r="CG362" s="52">
        <f t="shared" si="50"/>
        <v>-1166474</v>
      </c>
      <c r="CH362" s="52">
        <f t="shared" si="50"/>
        <v>-54973</v>
      </c>
      <c r="CI362" s="52">
        <f t="shared" si="50"/>
        <v>-137575</v>
      </c>
      <c r="CJ362" s="52">
        <f t="shared" si="50"/>
        <v>-118970</v>
      </c>
      <c r="CK362" s="52">
        <f t="shared" si="50"/>
        <v>-695694</v>
      </c>
      <c r="CL362" s="52">
        <f>IFERROR(SUM(CL363:CL364),0)</f>
        <v>-175269</v>
      </c>
      <c r="CM362" s="52">
        <f t="shared" ref="CM362:CV362" si="51">IFERROR(SUM(CM363:CM364),0)</f>
        <v>524406</v>
      </c>
      <c r="CN362" s="52">
        <f t="shared" si="51"/>
        <v>-128030</v>
      </c>
      <c r="CO362" s="52">
        <f t="shared" si="51"/>
        <v>-1414806</v>
      </c>
      <c r="CP362" s="52">
        <f t="shared" si="51"/>
        <v>-154503</v>
      </c>
      <c r="CQ362" s="52">
        <f t="shared" si="51"/>
        <v>-126983</v>
      </c>
      <c r="CR362" s="52">
        <f t="shared" si="51"/>
        <v>-149439</v>
      </c>
      <c r="CS362" s="52">
        <f t="shared" si="51"/>
        <v>-908792</v>
      </c>
      <c r="CT362" s="52">
        <f t="shared" si="51"/>
        <v>-180554</v>
      </c>
      <c r="CU362" s="52">
        <f t="shared" si="51"/>
        <v>-140915</v>
      </c>
      <c r="CV362" s="52">
        <f t="shared" si="51"/>
        <v>-100629</v>
      </c>
    </row>
    <row r="363" spans="69:100" ht="19" customHeight="1" x14ac:dyDescent="0.35">
      <c r="BQ363" s="1" t="str">
        <f>_xlfn.CONCAT($BV$326," | ",BV363)</f>
        <v>CEMIG D | Imposto de renda e contribuição social</v>
      </c>
      <c r="BV363" s="36" t="s">
        <v>15</v>
      </c>
      <c r="BW363" s="50">
        <v>3626</v>
      </c>
      <c r="BX363" s="50">
        <v>-34217</v>
      </c>
      <c r="BY363" s="50">
        <v>93375</v>
      </c>
      <c r="BZ363" s="50">
        <v>-37105</v>
      </c>
      <c r="CA363" s="50">
        <v>-103051</v>
      </c>
      <c r="CB363" s="50">
        <v>-56304</v>
      </c>
      <c r="CC363" s="50">
        <v>292404</v>
      </c>
      <c r="CD363" s="50">
        <v>-43117</v>
      </c>
      <c r="CE363" s="50">
        <v>-56088</v>
      </c>
      <c r="CF363" s="50">
        <v>-75069</v>
      </c>
      <c r="CG363" s="50">
        <v>59240</v>
      </c>
      <c r="CH363" s="50">
        <v>-22959</v>
      </c>
      <c r="CI363" s="50">
        <v>2843</v>
      </c>
      <c r="CJ363" s="50">
        <v>-153349</v>
      </c>
      <c r="CK363" s="50">
        <v>-769692</v>
      </c>
      <c r="CL363" s="50">
        <v>-181669</v>
      </c>
      <c r="CM363" s="50">
        <v>0</v>
      </c>
      <c r="CN363" s="50">
        <v>-155798</v>
      </c>
      <c r="CO363" s="50">
        <v>-201475</v>
      </c>
      <c r="CP363" s="50">
        <v>-185106</v>
      </c>
      <c r="CQ363" s="50">
        <v>-130237</v>
      </c>
      <c r="CR363" s="50">
        <v>-166683</v>
      </c>
      <c r="CS363" s="50">
        <v>-8303</v>
      </c>
      <c r="CT363" s="50">
        <v>-100093</v>
      </c>
      <c r="CU363" s="50">
        <v>-167861</v>
      </c>
      <c r="CV363" s="50">
        <v>-116958</v>
      </c>
    </row>
    <row r="364" spans="69:100" ht="19" customHeight="1" x14ac:dyDescent="0.35">
      <c r="BQ364" s="1" t="str">
        <f>_xlfn.CONCAT($BV$326," | ",BV364)</f>
        <v>CEMIG D | Imposto de renda e contribuição social diferidos</v>
      </c>
      <c r="BV364" s="36" t="s">
        <v>16</v>
      </c>
      <c r="BW364" s="50">
        <v>-107253</v>
      </c>
      <c r="BX364" s="50">
        <v>-20218</v>
      </c>
      <c r="BY364" s="50">
        <v>-307301</v>
      </c>
      <c r="BZ364" s="50">
        <v>31190</v>
      </c>
      <c r="CA364" s="50">
        <v>-44339</v>
      </c>
      <c r="CB364" s="50">
        <v>-2303</v>
      </c>
      <c r="CC364" s="50">
        <v>-1792475</v>
      </c>
      <c r="CD364" s="50">
        <v>-52855</v>
      </c>
      <c r="CE364" s="50">
        <v>-294075</v>
      </c>
      <c r="CF364" s="50">
        <v>-24104</v>
      </c>
      <c r="CG364" s="50">
        <v>-1225714</v>
      </c>
      <c r="CH364" s="50">
        <v>-32014</v>
      </c>
      <c r="CI364" s="50">
        <v>-140418</v>
      </c>
      <c r="CJ364" s="50">
        <v>34379</v>
      </c>
      <c r="CK364" s="50">
        <v>73998</v>
      </c>
      <c r="CL364" s="50">
        <v>6400</v>
      </c>
      <c r="CM364" s="50">
        <v>524406</v>
      </c>
      <c r="CN364" s="50">
        <v>27768</v>
      </c>
      <c r="CO364" s="50">
        <v>-1213331</v>
      </c>
      <c r="CP364" s="50">
        <v>30603</v>
      </c>
      <c r="CQ364" s="50">
        <v>3254</v>
      </c>
      <c r="CR364" s="50">
        <v>17244</v>
      </c>
      <c r="CS364" s="50">
        <v>-900489</v>
      </c>
      <c r="CT364" s="50">
        <v>-80461</v>
      </c>
      <c r="CU364" s="50">
        <v>26946</v>
      </c>
      <c r="CV364" s="50">
        <v>16329</v>
      </c>
    </row>
    <row r="365" spans="69:100" ht="25" customHeight="1" x14ac:dyDescent="0.35">
      <c r="BV365" s="42" t="s">
        <v>17</v>
      </c>
      <c r="BW365" s="53">
        <f>IFERROR(SUM(BW361:BW362),0)</f>
        <v>483134</v>
      </c>
      <c r="BX365" s="53">
        <f>IFERROR(SUM(BX361:BX362),0)</f>
        <v>397653</v>
      </c>
      <c r="BY365" s="53">
        <f>IFERROR(SUM(BY361:BY362),0)</f>
        <v>977362</v>
      </c>
      <c r="BZ365" s="53">
        <f t="shared" ref="BZ365:CV365" si="52">IFERROR(SUM(BZ361:BZ362),0)</f>
        <v>282099</v>
      </c>
      <c r="CA365" s="53">
        <f>IFERROR(SUM(CA361:CA362),0)</f>
        <v>550554</v>
      </c>
      <c r="CB365" s="53">
        <f t="shared" si="52"/>
        <v>311158</v>
      </c>
      <c r="CC365" s="53">
        <f t="shared" si="52"/>
        <v>-931705</v>
      </c>
      <c r="CD365" s="53">
        <f t="shared" si="52"/>
        <v>371723</v>
      </c>
      <c r="CE365" s="53">
        <f t="shared" si="52"/>
        <v>1060436</v>
      </c>
      <c r="CF365" s="53">
        <f t="shared" si="52"/>
        <v>322338</v>
      </c>
      <c r="CG365" s="53">
        <f t="shared" si="52"/>
        <v>-672279</v>
      </c>
      <c r="CH365" s="53">
        <f t="shared" si="52"/>
        <v>475927</v>
      </c>
      <c r="CI365" s="53">
        <f t="shared" si="52"/>
        <v>365439</v>
      </c>
      <c r="CJ365" s="53">
        <f t="shared" si="52"/>
        <v>369530</v>
      </c>
      <c r="CK365" s="53">
        <f t="shared" si="52"/>
        <v>-80253</v>
      </c>
      <c r="CL365" s="53">
        <f t="shared" si="52"/>
        <v>506928</v>
      </c>
      <c r="CM365" s="53">
        <f t="shared" si="52"/>
        <v>-900278</v>
      </c>
      <c r="CN365" s="53">
        <f t="shared" si="52"/>
        <v>375927</v>
      </c>
      <c r="CO365" s="53">
        <f t="shared" si="52"/>
        <v>-630094</v>
      </c>
      <c r="CP365" s="53">
        <f t="shared" si="52"/>
        <v>399974</v>
      </c>
      <c r="CQ365" s="53">
        <f t="shared" si="52"/>
        <v>347641</v>
      </c>
      <c r="CR365" s="53">
        <f t="shared" si="52"/>
        <v>392152</v>
      </c>
      <c r="CS365" s="53">
        <f t="shared" si="52"/>
        <v>-636786</v>
      </c>
      <c r="CT365" s="53">
        <f t="shared" si="52"/>
        <v>458373</v>
      </c>
      <c r="CU365" s="53">
        <f t="shared" si="52"/>
        <v>282801</v>
      </c>
      <c r="CV365" s="53">
        <f t="shared" si="52"/>
        <v>196589</v>
      </c>
    </row>
    <row r="366" spans="69:100" ht="25" customHeight="1" thickBot="1" x14ac:dyDescent="0.4">
      <c r="BQ366" s="1" t="str">
        <f>_xlfn.CONCAT($BV$326," | ",BV366)</f>
        <v>CEMIG D | LUCRO BÁSICO E DILUÍDO POR AÇÃO</v>
      </c>
      <c r="BV366" s="331" t="s">
        <v>116</v>
      </c>
      <c r="BW366" s="371">
        <v>0.2</v>
      </c>
      <c r="BX366" s="371">
        <v>0.17</v>
      </c>
      <c r="BY366" s="371">
        <v>0.42000000000000004</v>
      </c>
      <c r="BZ366" s="371">
        <v>0.12</v>
      </c>
      <c r="CA366" s="371">
        <v>0.23</v>
      </c>
      <c r="CB366" s="371">
        <v>0.13</v>
      </c>
      <c r="CC366" s="371">
        <v>0.18520512891382546</v>
      </c>
      <c r="CD366" s="371">
        <v>0.16</v>
      </c>
      <c r="CE366" s="371">
        <v>0.45</v>
      </c>
      <c r="CF366" s="371">
        <v>0.14000000000000001</v>
      </c>
      <c r="CG366" s="371">
        <v>0.17307863644024524</v>
      </c>
      <c r="CH366" s="371">
        <v>0.2</v>
      </c>
      <c r="CI366" s="371">
        <v>0.15</v>
      </c>
      <c r="CJ366" s="371">
        <v>0.16</v>
      </c>
      <c r="CK366" s="371">
        <v>0.2</v>
      </c>
      <c r="CL366" s="371">
        <v>0.21</v>
      </c>
      <c r="CM366" s="371">
        <v>-0.38</v>
      </c>
      <c r="CN366" s="371">
        <v>0.16</v>
      </c>
      <c r="CO366" s="371">
        <v>0.22999999999999998</v>
      </c>
      <c r="CP366" s="371">
        <v>0.17</v>
      </c>
      <c r="CQ366" s="371">
        <v>0.15</v>
      </c>
      <c r="CR366" s="371">
        <v>0.17</v>
      </c>
      <c r="CS366" s="371">
        <v>0.12</v>
      </c>
      <c r="CT366" s="371">
        <v>0.19</v>
      </c>
      <c r="CU366" s="371">
        <v>0.12</v>
      </c>
      <c r="CV366" s="371">
        <v>0.08</v>
      </c>
    </row>
    <row r="371" spans="69:100" ht="40" customHeight="1" x14ac:dyDescent="0.35">
      <c r="BV371" s="479" t="s">
        <v>117</v>
      </c>
      <c r="BW371" s="479"/>
      <c r="BX371" s="479"/>
      <c r="BY371" s="479"/>
      <c r="BZ371" s="479"/>
      <c r="CA371" s="479"/>
      <c r="CB371" s="479"/>
      <c r="CC371" s="479"/>
      <c r="CD371" s="479"/>
      <c r="CE371" s="479"/>
      <c r="CF371" s="479"/>
      <c r="CG371" s="479"/>
      <c r="CH371" s="479"/>
      <c r="CI371" s="479"/>
      <c r="CJ371" s="479"/>
      <c r="CK371" s="479"/>
      <c r="CL371" s="479"/>
      <c r="CM371" s="479"/>
      <c r="CN371" s="479"/>
      <c r="CO371" s="479"/>
      <c r="CP371" s="479"/>
      <c r="CQ371" s="479"/>
      <c r="CR371" s="479"/>
      <c r="CS371" s="479"/>
      <c r="CT371" s="479"/>
      <c r="CU371" s="479"/>
      <c r="CV371" s="479"/>
    </row>
    <row r="372" spans="69:100" ht="15" customHeight="1" x14ac:dyDescent="0.35">
      <c r="BV372" s="83" t="s">
        <v>3</v>
      </c>
      <c r="BW372" s="83"/>
      <c r="BX372" s="83"/>
    </row>
    <row r="373" spans="69:100" ht="28" customHeight="1" x14ac:dyDescent="0.35">
      <c r="BV373" s="337" t="s">
        <v>4</v>
      </c>
      <c r="BW373" s="338" t="str">
        <f t="shared" ref="BW373:CU373" si="53">BW328</f>
        <v>2T | 2026</v>
      </c>
      <c r="BX373" s="338" t="str">
        <f t="shared" si="53"/>
        <v>1T | 2026</v>
      </c>
      <c r="BY373" s="338" t="str">
        <f t="shared" si="53"/>
        <v>4T | 2025</v>
      </c>
      <c r="BZ373" s="338" t="str">
        <f t="shared" si="53"/>
        <v>3T | 2025</v>
      </c>
      <c r="CA373" s="338" t="str">
        <f t="shared" si="53"/>
        <v>2T | 2025</v>
      </c>
      <c r="CB373" s="338" t="str">
        <f t="shared" si="53"/>
        <v>1T | 2025</v>
      </c>
      <c r="CC373" s="338" t="str">
        <f t="shared" si="53"/>
        <v>4T | 2024</v>
      </c>
      <c r="CD373" s="338" t="str">
        <f t="shared" si="53"/>
        <v>3T | 2024</v>
      </c>
      <c r="CE373" s="338" t="str">
        <f t="shared" si="53"/>
        <v>2T | 2024</v>
      </c>
      <c r="CF373" s="338" t="str">
        <f t="shared" si="53"/>
        <v>1T | 2024</v>
      </c>
      <c r="CG373" s="338" t="str">
        <f t="shared" si="53"/>
        <v>4T | 2023</v>
      </c>
      <c r="CH373" s="338" t="str">
        <f t="shared" si="53"/>
        <v>3T | 2023</v>
      </c>
      <c r="CI373" s="338" t="str">
        <f t="shared" si="53"/>
        <v>2T | 2023</v>
      </c>
      <c r="CJ373" s="338" t="str">
        <f t="shared" si="53"/>
        <v>1T | 2023</v>
      </c>
      <c r="CK373" s="338" t="str">
        <f t="shared" si="53"/>
        <v>4T | 2022</v>
      </c>
      <c r="CL373" s="338" t="str">
        <f t="shared" si="53"/>
        <v>3T | 2022</v>
      </c>
      <c r="CM373" s="338" t="str">
        <f t="shared" si="53"/>
        <v>2T | 2022</v>
      </c>
      <c r="CN373" s="338" t="str">
        <f t="shared" si="53"/>
        <v>1T | 2022</v>
      </c>
      <c r="CO373" s="338" t="str">
        <f t="shared" si="53"/>
        <v>4T | 2021</v>
      </c>
      <c r="CP373" s="338" t="str">
        <f t="shared" si="53"/>
        <v>3T | 2021</v>
      </c>
      <c r="CQ373" s="338" t="str">
        <f t="shared" si="53"/>
        <v>2T | 2021</v>
      </c>
      <c r="CR373" s="338" t="str">
        <f t="shared" si="53"/>
        <v>1T | 2021</v>
      </c>
      <c r="CS373" s="338" t="str">
        <f t="shared" si="53"/>
        <v>4T | 2020</v>
      </c>
      <c r="CT373" s="338" t="str">
        <f t="shared" si="53"/>
        <v>3T | 2020</v>
      </c>
      <c r="CU373" s="338" t="str">
        <f t="shared" si="53"/>
        <v>2T | 2020</v>
      </c>
      <c r="CV373" s="338" t="str">
        <f>CV328</f>
        <v>1T | 2020</v>
      </c>
    </row>
    <row r="374" spans="69:100" ht="25" customHeight="1" x14ac:dyDescent="0.35">
      <c r="BV374" s="42" t="s">
        <v>6</v>
      </c>
      <c r="BW374" s="46">
        <f>IFERROR(SUM(BW375,BW377:BW385),0)</f>
        <v>2216149</v>
      </c>
      <c r="BX374" s="46">
        <f>IFERROR(SUM(BX375,BX377:BX385),0)</f>
        <v>1934772</v>
      </c>
      <c r="BY374" s="46">
        <f>IFERROR(SUM(BY375,BY377:BY385),0)</f>
        <v>1973978</v>
      </c>
      <c r="BZ374" s="46">
        <f t="shared" ref="BZ374:CV374" si="54">IFERROR(SUM(BZ375,BZ377:BZ385),0)</f>
        <v>1796540</v>
      </c>
      <c r="CA374" s="46">
        <f t="shared" si="54"/>
        <v>1752437</v>
      </c>
      <c r="CB374" s="46">
        <f t="shared" si="54"/>
        <v>1702854</v>
      </c>
      <c r="CC374" s="46">
        <f t="shared" si="54"/>
        <v>1691935</v>
      </c>
      <c r="CD374" s="46">
        <f t="shared" si="54"/>
        <v>1596623</v>
      </c>
      <c r="CE374" s="46">
        <f t="shared" si="54"/>
        <v>1417295</v>
      </c>
      <c r="CF374" s="46">
        <f t="shared" si="54"/>
        <v>1403113</v>
      </c>
      <c r="CG374" s="46">
        <f t="shared" si="54"/>
        <v>1751613</v>
      </c>
      <c r="CH374" s="46">
        <f t="shared" si="54"/>
        <v>1620821</v>
      </c>
      <c r="CI374" s="46">
        <f t="shared" si="54"/>
        <v>1632268</v>
      </c>
      <c r="CJ374" s="46">
        <f t="shared" si="54"/>
        <v>1756040</v>
      </c>
      <c r="CK374" s="46">
        <f t="shared" si="54"/>
        <v>2055871</v>
      </c>
      <c r="CL374" s="46">
        <f t="shared" si="54"/>
        <v>1918704</v>
      </c>
      <c r="CM374" s="46">
        <f t="shared" si="54"/>
        <v>2049713</v>
      </c>
      <c r="CN374" s="46">
        <f t="shared" si="54"/>
        <v>2124164</v>
      </c>
      <c r="CO374" s="46">
        <f t="shared" si="54"/>
        <v>2050793</v>
      </c>
      <c r="CP374" s="46">
        <f t="shared" si="54"/>
        <v>2369226</v>
      </c>
      <c r="CQ374" s="46">
        <f t="shared" si="54"/>
        <v>1945567</v>
      </c>
      <c r="CR374" s="46">
        <f t="shared" si="54"/>
        <v>1945526</v>
      </c>
      <c r="CS374" s="46">
        <f t="shared" si="54"/>
        <v>2039244</v>
      </c>
      <c r="CT374" s="46">
        <f t="shared" si="54"/>
        <v>1978678</v>
      </c>
      <c r="CU374" s="46">
        <f t="shared" si="54"/>
        <v>1463731</v>
      </c>
      <c r="CV374" s="46">
        <f t="shared" si="54"/>
        <v>1874435</v>
      </c>
    </row>
    <row r="375" spans="69:100" ht="19" customHeight="1" x14ac:dyDescent="0.35">
      <c r="BQ375" s="1" t="str">
        <f t="shared" ref="BQ375:BQ385" si="55">_xlfn.CONCAT($BV$371," | ",BV375)</f>
        <v>CEMIG GT | Fornecimento bruto de energia elétrica - com impostos</v>
      </c>
      <c r="BT375" s="390"/>
      <c r="BV375" s="35" t="s">
        <v>118</v>
      </c>
      <c r="BW375" s="30">
        <v>1754647</v>
      </c>
      <c r="BX375" s="30">
        <v>1612300</v>
      </c>
      <c r="BY375" s="30">
        <v>1549088</v>
      </c>
      <c r="BZ375" s="32">
        <v>1575991</v>
      </c>
      <c r="CA375" s="32">
        <v>1446826</v>
      </c>
      <c r="CB375" s="32">
        <v>1406947</v>
      </c>
      <c r="CC375" s="32">
        <v>1390252</v>
      </c>
      <c r="CD375" s="32">
        <v>1400598</v>
      </c>
      <c r="CE375" s="32">
        <v>1185573</v>
      </c>
      <c r="CF375" s="32">
        <v>1166100</v>
      </c>
      <c r="CG375" s="32">
        <v>1553389</v>
      </c>
      <c r="CH375" s="32">
        <v>1527154</v>
      </c>
      <c r="CI375" s="32">
        <v>1529092</v>
      </c>
      <c r="CJ375" s="32">
        <v>1580860</v>
      </c>
      <c r="CK375" s="32">
        <v>1854502</v>
      </c>
      <c r="CL375" s="32">
        <v>1872105</v>
      </c>
      <c r="CM375" s="32">
        <v>1884936</v>
      </c>
      <c r="CN375" s="32">
        <v>2017515</v>
      </c>
      <c r="CO375" s="32">
        <v>1820834</v>
      </c>
      <c r="CP375" s="32">
        <v>2142625</v>
      </c>
      <c r="CQ375" s="32">
        <v>1809641</v>
      </c>
      <c r="CR375" s="32">
        <v>1897442</v>
      </c>
      <c r="CS375" s="32">
        <v>1969849</v>
      </c>
      <c r="CT375" s="32">
        <v>1927253</v>
      </c>
      <c r="CU375" s="32">
        <v>1548549</v>
      </c>
      <c r="CV375" s="32">
        <v>1891834</v>
      </c>
    </row>
    <row r="376" spans="69:100" ht="19" customHeight="1" x14ac:dyDescent="0.35">
      <c r="BV376" s="389" t="s">
        <v>54</v>
      </c>
      <c r="BW376" s="77">
        <v>0</v>
      </c>
      <c r="BX376" s="77">
        <f>IFERROR(SUM(BX377:BX379),0)</f>
        <v>431329</v>
      </c>
      <c r="BY376" s="77">
        <f>IFERROR(SUM(BY377:BY379),0)</f>
        <v>487618</v>
      </c>
      <c r="BZ376" s="77">
        <f t="shared" ref="BZ376:CV376" si="56">IFERROR(SUM(BZ377:BZ379),0)</f>
        <v>434329</v>
      </c>
      <c r="CA376" s="77">
        <f t="shared" si="56"/>
        <v>462769</v>
      </c>
      <c r="CB376" s="77">
        <f t="shared" si="56"/>
        <v>431393</v>
      </c>
      <c r="CC376" s="77">
        <f t="shared" si="56"/>
        <v>471887</v>
      </c>
      <c r="CD376" s="77">
        <f t="shared" si="56"/>
        <v>426498</v>
      </c>
      <c r="CE376" s="77">
        <f t="shared" si="56"/>
        <v>413222</v>
      </c>
      <c r="CF376" s="77">
        <f t="shared" si="56"/>
        <v>371227</v>
      </c>
      <c r="CG376" s="77">
        <f t="shared" si="56"/>
        <v>390512</v>
      </c>
      <c r="CH376" s="77">
        <f t="shared" si="56"/>
        <v>347747</v>
      </c>
      <c r="CI376" s="77">
        <f t="shared" si="56"/>
        <v>355303</v>
      </c>
      <c r="CJ376" s="77">
        <f t="shared" si="56"/>
        <v>388532</v>
      </c>
      <c r="CK376" s="77">
        <f t="shared" si="56"/>
        <v>446106</v>
      </c>
      <c r="CL376" s="77">
        <f t="shared" si="56"/>
        <v>333149</v>
      </c>
      <c r="CM376" s="77">
        <f t="shared" si="56"/>
        <v>502870</v>
      </c>
      <c r="CN376" s="77">
        <f t="shared" si="56"/>
        <v>408782</v>
      </c>
      <c r="CO376" s="77">
        <f t="shared" si="56"/>
        <v>497669</v>
      </c>
      <c r="CP376" s="77">
        <f t="shared" si="56"/>
        <v>375161</v>
      </c>
      <c r="CQ376" s="77">
        <f t="shared" si="56"/>
        <v>304729</v>
      </c>
      <c r="CR376" s="77">
        <f t="shared" si="56"/>
        <v>318212</v>
      </c>
      <c r="CS376" s="77">
        <f t="shared" si="56"/>
        <v>345009</v>
      </c>
      <c r="CT376" s="77">
        <f t="shared" si="56"/>
        <v>321608</v>
      </c>
      <c r="CU376" s="77">
        <f t="shared" si="56"/>
        <v>200405</v>
      </c>
      <c r="CV376" s="77">
        <f t="shared" si="56"/>
        <v>257763</v>
      </c>
    </row>
    <row r="377" spans="69:100" ht="19" customHeight="1" x14ac:dyDescent="0.35">
      <c r="BQ377" s="1" t="str">
        <f t="shared" si="55"/>
        <v>CEMIG GT | Receita de operação e manutenção</v>
      </c>
      <c r="BT377" s="390"/>
      <c r="BV377" s="142" t="s">
        <v>55</v>
      </c>
      <c r="BW377" s="30">
        <v>144173</v>
      </c>
      <c r="BX377" s="30">
        <v>128269</v>
      </c>
      <c r="BY377" s="30">
        <v>141718</v>
      </c>
      <c r="BZ377" s="32">
        <v>160982</v>
      </c>
      <c r="CA377" s="32">
        <v>133773</v>
      </c>
      <c r="CB377" s="32">
        <v>146319</v>
      </c>
      <c r="CC377" s="32">
        <v>129126</v>
      </c>
      <c r="CD377" s="32">
        <v>197652</v>
      </c>
      <c r="CE377" s="32">
        <v>176735</v>
      </c>
      <c r="CF377" s="32">
        <v>162173</v>
      </c>
      <c r="CG377" s="32">
        <v>185897</v>
      </c>
      <c r="CH377" s="32">
        <v>197614</v>
      </c>
      <c r="CI377" s="32">
        <v>182320</v>
      </c>
      <c r="CJ377" s="32">
        <v>174253</v>
      </c>
      <c r="CK377" s="32">
        <v>182408</v>
      </c>
      <c r="CL377" s="32">
        <v>191022</v>
      </c>
      <c r="CM377" s="32">
        <v>197395</v>
      </c>
      <c r="CN377" s="32">
        <v>151845</v>
      </c>
      <c r="CO377" s="32">
        <v>185699</v>
      </c>
      <c r="CP377" s="32">
        <v>140511</v>
      </c>
      <c r="CQ377" s="32">
        <v>135969</v>
      </c>
      <c r="CR377" s="32">
        <v>150719</v>
      </c>
      <c r="CS377" s="32">
        <v>130538</v>
      </c>
      <c r="CT377" s="32">
        <v>141968</v>
      </c>
      <c r="CU377" s="32">
        <v>113918</v>
      </c>
      <c r="CV377" s="32">
        <v>124942</v>
      </c>
    </row>
    <row r="378" spans="69:100" ht="19" customHeight="1" x14ac:dyDescent="0.35">
      <c r="BQ378" s="1" t="str">
        <f t="shared" si="55"/>
        <v>CEMIG GT | Receita de construção</v>
      </c>
      <c r="BT378" s="390"/>
      <c r="BV378" s="142" t="s">
        <v>119</v>
      </c>
      <c r="BW378" s="30">
        <v>221279</v>
      </c>
      <c r="BX378" s="30">
        <v>161641</v>
      </c>
      <c r="BY378" s="30">
        <v>199729</v>
      </c>
      <c r="BZ378" s="32">
        <v>132211</v>
      </c>
      <c r="CA378" s="32">
        <v>179131</v>
      </c>
      <c r="CB378" s="32">
        <v>66343</v>
      </c>
      <c r="CC378" s="32">
        <v>144375</v>
      </c>
      <c r="CD378" s="32">
        <v>118065</v>
      </c>
      <c r="CE378" s="32">
        <v>100293</v>
      </c>
      <c r="CF378" s="32">
        <v>59917</v>
      </c>
      <c r="CG378" s="32">
        <v>83909</v>
      </c>
      <c r="CH378" s="32">
        <v>35769</v>
      </c>
      <c r="CI378" s="32">
        <v>67798</v>
      </c>
      <c r="CJ378" s="32">
        <v>39404</v>
      </c>
      <c r="CK378" s="32">
        <v>137433</v>
      </c>
      <c r="CL378" s="32">
        <v>100492</v>
      </c>
      <c r="CM378" s="32">
        <v>100873</v>
      </c>
      <c r="CN378" s="32">
        <v>68395</v>
      </c>
      <c r="CO378" s="32">
        <v>114145</v>
      </c>
      <c r="CP378" s="32">
        <v>75694</v>
      </c>
      <c r="CQ378" s="32">
        <v>39683</v>
      </c>
      <c r="CR378" s="32">
        <v>22451</v>
      </c>
      <c r="CS378" s="32">
        <v>34032</v>
      </c>
      <c r="CT378" s="32">
        <v>63363</v>
      </c>
      <c r="CU378" s="32">
        <v>42815</v>
      </c>
      <c r="CV378" s="32">
        <v>61241</v>
      </c>
    </row>
    <row r="379" spans="69:100" ht="19" customHeight="1" x14ac:dyDescent="0.35">
      <c r="BQ379" s="1" t="str">
        <f t="shared" si="55"/>
        <v>CEMIG GT | Remuneração financeira do ativo de contrato da transmissão</v>
      </c>
      <c r="BT379" s="390"/>
      <c r="BV379" s="142" t="s">
        <v>57</v>
      </c>
      <c r="BW379" s="30">
        <v>228961</v>
      </c>
      <c r="BX379" s="30">
        <v>141419</v>
      </c>
      <c r="BY379" s="30">
        <v>146171</v>
      </c>
      <c r="BZ379" s="32">
        <v>141136</v>
      </c>
      <c r="CA379" s="32">
        <v>149865</v>
      </c>
      <c r="CB379" s="32">
        <v>218731</v>
      </c>
      <c r="CC379" s="32">
        <v>198386</v>
      </c>
      <c r="CD379" s="32">
        <v>110781</v>
      </c>
      <c r="CE379" s="32">
        <v>136194</v>
      </c>
      <c r="CF379" s="32">
        <v>149137</v>
      </c>
      <c r="CG379" s="32">
        <v>120706</v>
      </c>
      <c r="CH379" s="32">
        <v>114364</v>
      </c>
      <c r="CI379" s="32">
        <v>105185</v>
      </c>
      <c r="CJ379" s="32">
        <v>174875</v>
      </c>
      <c r="CK379" s="32">
        <v>126265</v>
      </c>
      <c r="CL379" s="32">
        <v>41635</v>
      </c>
      <c r="CM379" s="32">
        <v>204602</v>
      </c>
      <c r="CN379" s="32">
        <v>188542</v>
      </c>
      <c r="CO379" s="32">
        <v>197825</v>
      </c>
      <c r="CP379" s="32">
        <v>158956</v>
      </c>
      <c r="CQ379" s="32">
        <v>129077</v>
      </c>
      <c r="CR379" s="32">
        <v>145042</v>
      </c>
      <c r="CS379" s="32">
        <v>180439</v>
      </c>
      <c r="CT379" s="32">
        <v>116277</v>
      </c>
      <c r="CU379" s="32">
        <v>43672</v>
      </c>
      <c r="CV379" s="32">
        <v>71580</v>
      </c>
    </row>
    <row r="380" spans="69:100" ht="19" customHeight="1" x14ac:dyDescent="0.35">
      <c r="BQ380" s="1" t="str">
        <f t="shared" si="55"/>
        <v>CEMIG GT | Receita de atualização da bonificação pela outorga</v>
      </c>
      <c r="BT380" s="390"/>
      <c r="BV380" s="49" t="s">
        <v>120</v>
      </c>
      <c r="BW380" s="30">
        <v>147979</v>
      </c>
      <c r="BX380" s="30">
        <v>120632</v>
      </c>
      <c r="BY380" s="30">
        <v>101989</v>
      </c>
      <c r="BZ380" s="32">
        <v>92056</v>
      </c>
      <c r="CA380" s="32">
        <v>118859</v>
      </c>
      <c r="CB380" s="32">
        <v>138457</v>
      </c>
      <c r="CC380" s="32">
        <v>117770</v>
      </c>
      <c r="CD380" s="32">
        <v>93694</v>
      </c>
      <c r="CE380" s="32">
        <v>107011</v>
      </c>
      <c r="CF380" s="32">
        <v>128625</v>
      </c>
      <c r="CG380" s="32">
        <v>97046</v>
      </c>
      <c r="CH380" s="32">
        <v>85073</v>
      </c>
      <c r="CI380" s="32">
        <v>94839</v>
      </c>
      <c r="CJ380" s="32">
        <v>134764</v>
      </c>
      <c r="CK380" s="32">
        <v>114272</v>
      </c>
      <c r="CL380" s="32">
        <v>59722</v>
      </c>
      <c r="CM380" s="32">
        <v>161268</v>
      </c>
      <c r="CN380" s="32">
        <v>131595</v>
      </c>
      <c r="CO380" s="32">
        <v>154263</v>
      </c>
      <c r="CP380" s="32">
        <v>125438</v>
      </c>
      <c r="CQ380" s="32">
        <v>118844</v>
      </c>
      <c r="CR380" s="32">
        <v>124560</v>
      </c>
      <c r="CS380" s="32">
        <v>118764</v>
      </c>
      <c r="CT380" s="32">
        <v>81881</v>
      </c>
      <c r="CU380" s="32">
        <v>46520</v>
      </c>
      <c r="CV380" s="32">
        <v>99892</v>
      </c>
    </row>
    <row r="381" spans="69:100" ht="19" customHeight="1" x14ac:dyDescent="0.35">
      <c r="BQ381" s="1" t="str">
        <f t="shared" si="55"/>
        <v>CEMIG GT | Liquidação na CCEE</v>
      </c>
      <c r="BT381" s="390"/>
      <c r="BV381" s="49" t="s">
        <v>62</v>
      </c>
      <c r="BW381" s="30">
        <v>14754</v>
      </c>
      <c r="BX381" s="30">
        <v>19832</v>
      </c>
      <c r="BY381" s="30">
        <v>94123</v>
      </c>
      <c r="BZ381" s="32">
        <v>11485</v>
      </c>
      <c r="CA381" s="32">
        <v>1673</v>
      </c>
      <c r="CB381" s="32">
        <v>20930</v>
      </c>
      <c r="CC381" s="32">
        <v>6011</v>
      </c>
      <c r="CD381" s="32">
        <v>1987</v>
      </c>
      <c r="CE381" s="32">
        <v>2328</v>
      </c>
      <c r="CF381" s="32">
        <v>27716</v>
      </c>
      <c r="CG381" s="32">
        <v>36985</v>
      </c>
      <c r="CH381" s="32">
        <v>372</v>
      </c>
      <c r="CI381" s="32">
        <v>9078</v>
      </c>
      <c r="CJ381" s="32">
        <v>22565</v>
      </c>
      <c r="CK381" s="32">
        <v>49012</v>
      </c>
      <c r="CL381" s="32">
        <v>95918</v>
      </c>
      <c r="CM381" s="32">
        <v>18279</v>
      </c>
      <c r="CN381" s="32">
        <v>22576</v>
      </c>
      <c r="CO381" s="32">
        <v>62879</v>
      </c>
      <c r="CP381" s="32">
        <v>212490</v>
      </c>
      <c r="CQ381" s="32">
        <v>14521</v>
      </c>
      <c r="CR381" s="32">
        <v>49849</v>
      </c>
      <c r="CS381" s="32">
        <v>63061</v>
      </c>
      <c r="CT381" s="32">
        <v>59103</v>
      </c>
      <c r="CU381" s="32">
        <v>7074</v>
      </c>
      <c r="CV381" s="32">
        <v>24524</v>
      </c>
    </row>
    <row r="382" spans="69:100" ht="19" customHeight="1" x14ac:dyDescent="0.35">
      <c r="BQ382" s="1" t="str">
        <f t="shared" si="55"/>
        <v>CEMIG GT | Receita de indenização da geração</v>
      </c>
      <c r="BT382" s="390"/>
      <c r="BV382" s="49" t="s">
        <v>58</v>
      </c>
      <c r="BW382" s="30">
        <v>35806</v>
      </c>
      <c r="BX382" s="30">
        <v>35145</v>
      </c>
      <c r="BY382" s="30">
        <v>34767</v>
      </c>
      <c r="BZ382" s="32">
        <v>33555</v>
      </c>
      <c r="CA382" s="32">
        <v>31201</v>
      </c>
      <c r="CB382" s="32">
        <v>26928</v>
      </c>
      <c r="CC382" s="32">
        <v>23232</v>
      </c>
      <c r="CD382" s="32">
        <v>21218</v>
      </c>
      <c r="CE382" s="32">
        <v>20596</v>
      </c>
      <c r="CF382" s="32">
        <v>21434</v>
      </c>
      <c r="CG382" s="32">
        <v>22782</v>
      </c>
      <c r="CH382" s="32">
        <v>23867</v>
      </c>
      <c r="CI382" s="32">
        <v>23469</v>
      </c>
      <c r="CJ382" s="32">
        <v>22477</v>
      </c>
      <c r="CK382" s="32">
        <v>22244</v>
      </c>
      <c r="CL382" s="32">
        <v>24784</v>
      </c>
      <c r="CM382" s="32">
        <v>0</v>
      </c>
      <c r="CN382" s="32">
        <v>0</v>
      </c>
      <c r="CO382" s="32">
        <v>0</v>
      </c>
      <c r="CP382" s="32">
        <v>0</v>
      </c>
      <c r="CQ382" s="32">
        <v>0</v>
      </c>
      <c r="CR382" s="32">
        <v>0</v>
      </c>
      <c r="CS382" s="32">
        <v>0</v>
      </c>
      <c r="CT382" s="32">
        <v>0</v>
      </c>
      <c r="CU382" s="32">
        <v>0</v>
      </c>
      <c r="CV382" s="32">
        <v>0</v>
      </c>
    </row>
    <row r="383" spans="69:100" ht="19" customHeight="1" x14ac:dyDescent="0.35">
      <c r="BQ383" s="1" t="str">
        <f t="shared" si="55"/>
        <v>CEMIG GT | Receita por antecipação de prestação de serviço</v>
      </c>
      <c r="BV383" s="49" t="s">
        <v>66</v>
      </c>
      <c r="BW383" s="30">
        <v>0</v>
      </c>
      <c r="BX383" s="30">
        <v>0</v>
      </c>
      <c r="BY383" s="30">
        <v>0</v>
      </c>
      <c r="BZ383" s="32">
        <v>0</v>
      </c>
      <c r="CA383" s="32">
        <v>0</v>
      </c>
      <c r="CB383" s="32">
        <v>0</v>
      </c>
      <c r="CC383" s="32">
        <v>0</v>
      </c>
      <c r="CD383" s="32">
        <v>0</v>
      </c>
      <c r="CE383" s="32">
        <v>0</v>
      </c>
      <c r="CF383" s="32">
        <v>0</v>
      </c>
      <c r="CG383" s="32">
        <v>0</v>
      </c>
      <c r="CH383" s="32">
        <v>0</v>
      </c>
      <c r="CI383" s="32">
        <v>0</v>
      </c>
      <c r="CJ383" s="32">
        <v>0</v>
      </c>
      <c r="CK383" s="32">
        <v>0</v>
      </c>
      <c r="CL383" s="32">
        <v>0</v>
      </c>
      <c r="CM383" s="32">
        <v>0</v>
      </c>
      <c r="CN383" s="32">
        <v>0</v>
      </c>
      <c r="CO383" s="32">
        <v>0</v>
      </c>
      <c r="CP383" s="32">
        <v>0</v>
      </c>
      <c r="CQ383" s="32">
        <v>153970</v>
      </c>
      <c r="CR383" s="32">
        <v>0</v>
      </c>
      <c r="CS383" s="32">
        <v>0</v>
      </c>
      <c r="CT383" s="32">
        <v>0</v>
      </c>
      <c r="CU383" s="32">
        <v>0</v>
      </c>
      <c r="CV383" s="32">
        <v>0</v>
      </c>
    </row>
    <row r="384" spans="69:100" ht="19" customHeight="1" x14ac:dyDescent="0.35">
      <c r="BQ384" s="1" t="str">
        <f t="shared" si="55"/>
        <v>CEMIG GT | Outras receitas</v>
      </c>
      <c r="BT384" s="390"/>
      <c r="BV384" s="49" t="s">
        <v>68</v>
      </c>
      <c r="BW384" s="30">
        <v>108309</v>
      </c>
      <c r="BX384" s="30">
        <v>92596</v>
      </c>
      <c r="BY384" s="30">
        <v>112068</v>
      </c>
      <c r="BZ384" s="32">
        <v>46041</v>
      </c>
      <c r="CA384" s="32">
        <v>48791</v>
      </c>
      <c r="CB384" s="32">
        <v>59239</v>
      </c>
      <c r="CC384" s="32">
        <v>62347</v>
      </c>
      <c r="CD384" s="32">
        <v>30733</v>
      </c>
      <c r="CE384" s="32">
        <v>34004</v>
      </c>
      <c r="CF384" s="32">
        <v>33797</v>
      </c>
      <c r="CG384" s="32">
        <v>45029</v>
      </c>
      <c r="CH384" s="32">
        <v>26102</v>
      </c>
      <c r="CI384" s="32">
        <v>26842</v>
      </c>
      <c r="CJ384" s="32">
        <v>26222</v>
      </c>
      <c r="CK384" s="32">
        <v>41160</v>
      </c>
      <c r="CL384" s="32">
        <v>21392</v>
      </c>
      <c r="CM384" s="32">
        <v>19525</v>
      </c>
      <c r="CN384" s="32">
        <v>36455</v>
      </c>
      <c r="CO384" s="32">
        <v>13597</v>
      </c>
      <c r="CP384" s="32">
        <v>37005</v>
      </c>
      <c r="CQ384" s="32">
        <v>16708</v>
      </c>
      <c r="CR384" s="32">
        <v>23927</v>
      </c>
      <c r="CS384" s="32">
        <v>29699</v>
      </c>
      <c r="CT384" s="32">
        <v>40307</v>
      </c>
      <c r="CU384" s="32">
        <v>35821</v>
      </c>
      <c r="CV384" s="32">
        <v>34444</v>
      </c>
    </row>
    <row r="385" spans="69:100" ht="19" customHeight="1" x14ac:dyDescent="0.35">
      <c r="BQ385" s="1" t="str">
        <f t="shared" si="55"/>
        <v>CEMIG GT | Tributos e encargos incidentes sobre as receitas</v>
      </c>
      <c r="BT385" s="390"/>
      <c r="BV385" s="49" t="s">
        <v>106</v>
      </c>
      <c r="BW385" s="30">
        <v>-439759</v>
      </c>
      <c r="BX385" s="30">
        <v>-377062</v>
      </c>
      <c r="BY385" s="30">
        <v>-405675</v>
      </c>
      <c r="BZ385" s="32">
        <v>-396917</v>
      </c>
      <c r="CA385" s="32">
        <v>-357682</v>
      </c>
      <c r="CB385" s="32">
        <v>-381040</v>
      </c>
      <c r="CC385" s="32">
        <v>-379564</v>
      </c>
      <c r="CD385" s="32">
        <v>-378105</v>
      </c>
      <c r="CE385" s="32">
        <v>-345439</v>
      </c>
      <c r="CF385" s="32">
        <v>-345786</v>
      </c>
      <c r="CG385" s="32">
        <v>-394130</v>
      </c>
      <c r="CH385" s="32">
        <v>-389494</v>
      </c>
      <c r="CI385" s="32">
        <v>-406355</v>
      </c>
      <c r="CJ385" s="32">
        <v>-419380</v>
      </c>
      <c r="CK385" s="32">
        <v>-471425</v>
      </c>
      <c r="CL385" s="32">
        <v>-488366</v>
      </c>
      <c r="CM385" s="32">
        <v>-537165</v>
      </c>
      <c r="CN385" s="32">
        <v>-492759</v>
      </c>
      <c r="CO385" s="32">
        <v>-498449</v>
      </c>
      <c r="CP385" s="32">
        <v>-523493</v>
      </c>
      <c r="CQ385" s="32">
        <v>-472846</v>
      </c>
      <c r="CR385" s="32">
        <v>-468464</v>
      </c>
      <c r="CS385" s="32">
        <v>-487138</v>
      </c>
      <c r="CT385" s="32">
        <v>-451474</v>
      </c>
      <c r="CU385" s="32">
        <v>-374638</v>
      </c>
      <c r="CV385" s="32">
        <v>-434022</v>
      </c>
    </row>
    <row r="386" spans="69:100" ht="25" customHeight="1" x14ac:dyDescent="0.35">
      <c r="BV386" s="4" t="s">
        <v>7</v>
      </c>
      <c r="BW386" s="66">
        <f>IFERROR(SUM(BW387:BW406,BW412),0)</f>
        <v>-1805684</v>
      </c>
      <c r="BX386" s="66">
        <f>IFERROR(SUM(BX387:BX406,BX412),0)</f>
        <v>-1432396</v>
      </c>
      <c r="BY386" s="66">
        <f t="shared" ref="BY386:CV386" si="57">IFERROR(SUM(BY387:BY406,BY412),0)</f>
        <v>-1247367</v>
      </c>
      <c r="BZ386" s="66">
        <f t="shared" si="57"/>
        <v>-1313234</v>
      </c>
      <c r="CA386" s="66">
        <f t="shared" si="57"/>
        <v>-1386786</v>
      </c>
      <c r="CB386" s="66">
        <f t="shared" si="57"/>
        <v>-999523</v>
      </c>
      <c r="CC386" s="66">
        <f t="shared" si="57"/>
        <v>-1167695</v>
      </c>
      <c r="CD386" s="66">
        <f t="shared" si="57"/>
        <v>2151871</v>
      </c>
      <c r="CE386" s="66">
        <f t="shared" si="57"/>
        <v>-843650</v>
      </c>
      <c r="CF386" s="66">
        <f t="shared" si="57"/>
        <v>-693453</v>
      </c>
      <c r="CG386" s="66">
        <f t="shared" si="57"/>
        <v>-699511</v>
      </c>
      <c r="CH386" s="66">
        <f t="shared" si="57"/>
        <v>-923257</v>
      </c>
      <c r="CI386" s="66">
        <f t="shared" si="57"/>
        <v>-1108814</v>
      </c>
      <c r="CJ386" s="66">
        <f t="shared" si="57"/>
        <v>-1087794</v>
      </c>
      <c r="CK386" s="66">
        <f t="shared" si="57"/>
        <v>-1507465</v>
      </c>
      <c r="CL386" s="66">
        <f t="shared" si="57"/>
        <v>-1674957</v>
      </c>
      <c r="CM386" s="66">
        <f t="shared" si="57"/>
        <v>-1487159</v>
      </c>
      <c r="CN386" s="66">
        <f t="shared" si="57"/>
        <v>-1317576</v>
      </c>
      <c r="CO386" s="66">
        <f t="shared" si="57"/>
        <v>-1467603</v>
      </c>
      <c r="CP386" s="66">
        <f t="shared" si="57"/>
        <v>-1834605</v>
      </c>
      <c r="CQ386" s="66">
        <f t="shared" si="57"/>
        <v>-176507</v>
      </c>
      <c r="CR386" s="66">
        <f t="shared" si="57"/>
        <v>-1244306</v>
      </c>
      <c r="CS386" s="66">
        <f t="shared" si="57"/>
        <v>-1487356</v>
      </c>
      <c r="CT386" s="66">
        <f t="shared" si="57"/>
        <v>-1405777</v>
      </c>
      <c r="CU386" s="66">
        <f t="shared" si="57"/>
        <v>-708674</v>
      </c>
      <c r="CV386" s="66">
        <f t="shared" si="57"/>
        <v>-1244244</v>
      </c>
    </row>
    <row r="387" spans="69:100" ht="19" customHeight="1" x14ac:dyDescent="0.35">
      <c r="BQ387" s="1" t="str">
        <f t="shared" ref="BQ387:BQ405" si="58">_xlfn.CONCAT($BV$371," | ",BV387)</f>
        <v>CEMIG GT | Energia elétrica comprada para revenda</v>
      </c>
      <c r="BV387" s="36" t="s">
        <v>70</v>
      </c>
      <c r="BW387" s="30">
        <v>-1005385</v>
      </c>
      <c r="BX387" s="30">
        <v>-948632</v>
      </c>
      <c r="BY387" s="30">
        <v>-926502</v>
      </c>
      <c r="BZ387" s="32">
        <v>-910739</v>
      </c>
      <c r="CA387" s="32">
        <v>-696512</v>
      </c>
      <c r="CB387" s="32">
        <v>-585788</v>
      </c>
      <c r="CC387" s="32">
        <v>-641512</v>
      </c>
      <c r="CD387" s="32">
        <v>-586885</v>
      </c>
      <c r="CE387" s="32">
        <v>-389673</v>
      </c>
      <c r="CF387" s="32">
        <v>-341132</v>
      </c>
      <c r="CG387" s="32">
        <v>-549314</v>
      </c>
      <c r="CH387" s="32">
        <v>-573944</v>
      </c>
      <c r="CI387" s="32">
        <v>-683877</v>
      </c>
      <c r="CJ387" s="32">
        <v>-682196</v>
      </c>
      <c r="CK387" s="32">
        <v>-1050042</v>
      </c>
      <c r="CL387" s="32">
        <v>-1255370</v>
      </c>
      <c r="CM387" s="32">
        <v>-933891</v>
      </c>
      <c r="CN387" s="32">
        <v>-906797</v>
      </c>
      <c r="CO387" s="32">
        <v>-2504042</v>
      </c>
      <c r="CP387" s="32">
        <v>-58204</v>
      </c>
      <c r="CQ387" s="32">
        <v>-952880</v>
      </c>
      <c r="CR387" s="32">
        <v>-979386</v>
      </c>
      <c r="CS387" s="32">
        <v>-1172999</v>
      </c>
      <c r="CT387" s="32">
        <v>-1068046</v>
      </c>
      <c r="CU387" s="32">
        <v>-871396</v>
      </c>
      <c r="CV387" s="32">
        <v>-913749</v>
      </c>
    </row>
    <row r="388" spans="69:100" ht="19" customHeight="1" x14ac:dyDescent="0.35">
      <c r="BQ388" s="1" t="str">
        <f t="shared" si="58"/>
        <v>CEMIG GT | Encargos de uso da rede básica de transmissão</v>
      </c>
      <c r="BV388" s="36" t="s">
        <v>121</v>
      </c>
      <c r="BW388" s="30">
        <v>-86561</v>
      </c>
      <c r="BX388" s="30">
        <v>-89382</v>
      </c>
      <c r="BY388" s="30">
        <v>-82851</v>
      </c>
      <c r="BZ388" s="32">
        <v>-79056</v>
      </c>
      <c r="CA388" s="32">
        <v>-74547</v>
      </c>
      <c r="CB388" s="32">
        <v>-74392</v>
      </c>
      <c r="CC388" s="32">
        <v>-71253</v>
      </c>
      <c r="CD388" s="32">
        <v>-72765</v>
      </c>
      <c r="CE388" s="32">
        <v>-73494</v>
      </c>
      <c r="CF388" s="32">
        <v>-72850</v>
      </c>
      <c r="CG388" s="32">
        <v>-67412</v>
      </c>
      <c r="CH388" s="32">
        <v>-70001</v>
      </c>
      <c r="CI388" s="32">
        <v>-64069</v>
      </c>
      <c r="CJ388" s="32">
        <v>-63326</v>
      </c>
      <c r="CK388" s="32">
        <v>-64388</v>
      </c>
      <c r="CL388" s="32">
        <v>-63698</v>
      </c>
      <c r="CM388" s="32">
        <v>-59411</v>
      </c>
      <c r="CN388" s="32">
        <v>-57935</v>
      </c>
      <c r="CO388" s="32">
        <v>1424648</v>
      </c>
      <c r="CP388" s="32">
        <v>-1542127</v>
      </c>
      <c r="CQ388" s="32">
        <v>-48588</v>
      </c>
      <c r="CR388" s="32">
        <v>-48920</v>
      </c>
      <c r="CS388" s="32">
        <v>-50757</v>
      </c>
      <c r="CT388" s="32">
        <v>-50201</v>
      </c>
      <c r="CU388" s="32">
        <v>-48854</v>
      </c>
      <c r="CV388" s="32">
        <v>-49434</v>
      </c>
    </row>
    <row r="389" spans="69:100" ht="19" customHeight="1" x14ac:dyDescent="0.35">
      <c r="BQ389" s="1" t="str">
        <f t="shared" si="58"/>
        <v>CEMIG GT | Custo de construção da transmissão</v>
      </c>
      <c r="BV389" s="36" t="s">
        <v>122</v>
      </c>
      <c r="BW389" s="30">
        <v>-164936</v>
      </c>
      <c r="BX389" s="30">
        <v>-105362</v>
      </c>
      <c r="BY389" s="30">
        <v>-158326</v>
      </c>
      <c r="BZ389" s="32">
        <v>-95237</v>
      </c>
      <c r="CA389" s="32">
        <v>-138924</v>
      </c>
      <c r="CB389" s="32">
        <v>-53320</v>
      </c>
      <c r="CC389" s="32">
        <v>-116014</v>
      </c>
      <c r="CD389" s="32">
        <v>-74257</v>
      </c>
      <c r="CE389" s="32">
        <v>-72719</v>
      </c>
      <c r="CF389" s="32">
        <v>-25686</v>
      </c>
      <c r="CG389" s="32">
        <v>-62863</v>
      </c>
      <c r="CH389" s="32">
        <v>-26587</v>
      </c>
      <c r="CI389" s="32">
        <v>-47184</v>
      </c>
      <c r="CJ389" s="32">
        <v>-26833</v>
      </c>
      <c r="CK389" s="32">
        <v>-92752</v>
      </c>
      <c r="CL389" s="32">
        <v>-72112</v>
      </c>
      <c r="CM389" s="32">
        <v>-75190</v>
      </c>
      <c r="CN389" s="32">
        <v>-50696</v>
      </c>
      <c r="CO389" s="32">
        <v>-81658</v>
      </c>
      <c r="CP389" s="32">
        <v>-54604</v>
      </c>
      <c r="CQ389" s="32">
        <v>-28059</v>
      </c>
      <c r="CR389" s="32">
        <v>-19065</v>
      </c>
      <c r="CS389" s="32">
        <v>-30943</v>
      </c>
      <c r="CT389" s="32">
        <v>-41665</v>
      </c>
      <c r="CU389" s="32">
        <v>-26846</v>
      </c>
      <c r="CV389" s="32">
        <v>-47198</v>
      </c>
    </row>
    <row r="390" spans="69:100" ht="19" customHeight="1" x14ac:dyDescent="0.35">
      <c r="BQ390" s="1" t="str">
        <f t="shared" si="58"/>
        <v>CEMIG GT | Pessoal</v>
      </c>
      <c r="BT390" s="390"/>
      <c r="BV390" s="36" t="s">
        <v>109</v>
      </c>
      <c r="BW390" s="30">
        <v>-100137</v>
      </c>
      <c r="BX390" s="30">
        <v>-93540</v>
      </c>
      <c r="BY390" s="30">
        <v>-89964</v>
      </c>
      <c r="BZ390" s="32">
        <v>-84915</v>
      </c>
      <c r="CA390" s="32">
        <v>-90075</v>
      </c>
      <c r="CB390" s="32">
        <v>-80332</v>
      </c>
      <c r="CC390" s="32">
        <v>-72920</v>
      </c>
      <c r="CD390" s="32">
        <v>-77874</v>
      </c>
      <c r="CE390" s="32">
        <v>-99278</v>
      </c>
      <c r="CF390" s="32">
        <v>-83299</v>
      </c>
      <c r="CG390" s="32">
        <v>-86777</v>
      </c>
      <c r="CH390" s="32">
        <v>-76927</v>
      </c>
      <c r="CI390" s="32">
        <v>-80213</v>
      </c>
      <c r="CJ390" s="32">
        <v>-85779</v>
      </c>
      <c r="CK390" s="32">
        <v>-89172</v>
      </c>
      <c r="CL390" s="32">
        <v>-78079</v>
      </c>
      <c r="CM390" s="32">
        <v>-91654</v>
      </c>
      <c r="CN390" s="32">
        <v>-81067</v>
      </c>
      <c r="CO390" s="32">
        <v>-85366</v>
      </c>
      <c r="CP390" s="32">
        <v>-72698</v>
      </c>
      <c r="CQ390" s="32">
        <v>-81081</v>
      </c>
      <c r="CR390" s="32">
        <v>-75555</v>
      </c>
      <c r="CS390" s="32">
        <v>-80660</v>
      </c>
      <c r="CT390" s="32">
        <v>-70344</v>
      </c>
      <c r="CU390" s="32">
        <v>-80483</v>
      </c>
      <c r="CV390" s="32">
        <v>-75048</v>
      </c>
    </row>
    <row r="391" spans="69:100" ht="19" customHeight="1" x14ac:dyDescent="0.35">
      <c r="BQ391" s="1" t="str">
        <f t="shared" si="58"/>
        <v>CEMIG GT | Participação dos empregados no resultado</v>
      </c>
      <c r="BT391" s="390"/>
      <c r="BV391" s="36" t="s">
        <v>123</v>
      </c>
      <c r="BW391" s="30">
        <v>-13369</v>
      </c>
      <c r="BX391" s="30">
        <v>-9000</v>
      </c>
      <c r="BY391" s="30">
        <v>-14752</v>
      </c>
      <c r="BZ391" s="32">
        <v>-10678</v>
      </c>
      <c r="CA391" s="32">
        <v>-9818</v>
      </c>
      <c r="CB391" s="32">
        <v>-9376</v>
      </c>
      <c r="CC391" s="32">
        <v>-8992</v>
      </c>
      <c r="CD391" s="32">
        <v>-9027</v>
      </c>
      <c r="CE391" s="32">
        <v>-10781</v>
      </c>
      <c r="CF391" s="32">
        <v>-9028</v>
      </c>
      <c r="CG391" s="32">
        <v>-8860</v>
      </c>
      <c r="CH391" s="32">
        <v>-10023</v>
      </c>
      <c r="CI391" s="32">
        <v>-9227</v>
      </c>
      <c r="CJ391" s="32">
        <v>-9512</v>
      </c>
      <c r="CK391" s="32">
        <v>-4599</v>
      </c>
      <c r="CL391" s="32">
        <v>-9121</v>
      </c>
      <c r="CM391" s="32">
        <v>-10606</v>
      </c>
      <c r="CN391" s="32">
        <v>-9396</v>
      </c>
      <c r="CO391" s="32">
        <v>-7148</v>
      </c>
      <c r="CP391" s="32">
        <v>-14368</v>
      </c>
      <c r="CQ391" s="32">
        <v>-5960</v>
      </c>
      <c r="CR391" s="32">
        <v>-7146</v>
      </c>
      <c r="CS391" s="32">
        <v>-8566</v>
      </c>
      <c r="CT391" s="32">
        <v>-19193</v>
      </c>
      <c r="CU391" s="32">
        <v>-1838</v>
      </c>
      <c r="CV391" s="32">
        <v>-6199</v>
      </c>
    </row>
    <row r="392" spans="69:100" ht="19" customHeight="1" x14ac:dyDescent="0.35">
      <c r="BQ392" s="1" t="str">
        <f t="shared" si="58"/>
        <v>CEMIG GT | Obrigações Pós-emprego</v>
      </c>
      <c r="BT392" s="390"/>
      <c r="BV392" s="36" t="s">
        <v>124</v>
      </c>
      <c r="BW392" s="30">
        <v>-9827</v>
      </c>
      <c r="BX392" s="30">
        <v>-9827</v>
      </c>
      <c r="BY392" s="30">
        <v>209978</v>
      </c>
      <c r="BZ392" s="32">
        <v>-23080</v>
      </c>
      <c r="CA392" s="32">
        <v>-22345</v>
      </c>
      <c r="CB392" s="32">
        <v>-21237</v>
      </c>
      <c r="CC392" s="32">
        <v>-25216</v>
      </c>
      <c r="CD392" s="32">
        <v>-25215</v>
      </c>
      <c r="CE392" s="32">
        <v>-20223</v>
      </c>
      <c r="CF392" s="32">
        <v>-29493</v>
      </c>
      <c r="CG392" s="32">
        <v>-33559</v>
      </c>
      <c r="CH392" s="32">
        <v>-35704</v>
      </c>
      <c r="CI392" s="32">
        <v>-32766</v>
      </c>
      <c r="CJ392" s="32">
        <v>-12766</v>
      </c>
      <c r="CK392" s="32">
        <v>-32830</v>
      </c>
      <c r="CL392" s="32">
        <v>-34599</v>
      </c>
      <c r="CM392" s="32">
        <v>-31735</v>
      </c>
      <c r="CN392" s="32">
        <v>-32231</v>
      </c>
      <c r="CO392" s="32">
        <v>68813</v>
      </c>
      <c r="CP392" s="32">
        <v>-23202</v>
      </c>
      <c r="CQ392" s="32">
        <v>-23282</v>
      </c>
      <c r="CR392" s="32">
        <v>-22693</v>
      </c>
      <c r="CS392" s="32">
        <v>-22219</v>
      </c>
      <c r="CT392" s="32">
        <v>-23684</v>
      </c>
      <c r="CU392" s="32">
        <v>-25452</v>
      </c>
      <c r="CV392" s="32">
        <v>-22527</v>
      </c>
    </row>
    <row r="393" spans="69:100" ht="19" customHeight="1" x14ac:dyDescent="0.35">
      <c r="BQ393" s="1" t="str">
        <f t="shared" si="58"/>
        <v>CEMIG GT | Materiais</v>
      </c>
      <c r="BT393" s="390"/>
      <c r="BV393" s="36" t="s">
        <v>77</v>
      </c>
      <c r="BW393" s="30">
        <v>-8688</v>
      </c>
      <c r="BX393" s="30">
        <v>-7613</v>
      </c>
      <c r="BY393" s="30">
        <v>-24077</v>
      </c>
      <c r="BZ393" s="32">
        <v>-9457</v>
      </c>
      <c r="CA393" s="32">
        <v>-8805</v>
      </c>
      <c r="CB393" s="32">
        <v>-5805</v>
      </c>
      <c r="CC393" s="32">
        <v>-7682</v>
      </c>
      <c r="CD393" s="32">
        <v>-7056</v>
      </c>
      <c r="CE393" s="32">
        <v>-6476</v>
      </c>
      <c r="CF393" s="32">
        <v>-5503</v>
      </c>
      <c r="CG393" s="32">
        <v>-7378</v>
      </c>
      <c r="CH393" s="32">
        <v>-6343</v>
      </c>
      <c r="CI393" s="32">
        <v>-4725</v>
      </c>
      <c r="CJ393" s="32">
        <v>-3458</v>
      </c>
      <c r="CK393" s="32">
        <v>-11345</v>
      </c>
      <c r="CL393" s="32">
        <v>-5931</v>
      </c>
      <c r="CM393" s="32">
        <v>-7192</v>
      </c>
      <c r="CN393" s="32">
        <v>-3537</v>
      </c>
      <c r="CO393" s="32">
        <v>-7135</v>
      </c>
      <c r="CP393" s="32">
        <v>-6714</v>
      </c>
      <c r="CQ393" s="32">
        <v>-8130</v>
      </c>
      <c r="CR393" s="32">
        <v>-4880</v>
      </c>
      <c r="CS393" s="32">
        <v>-4658</v>
      </c>
      <c r="CT393" s="32">
        <v>-5935</v>
      </c>
      <c r="CU393" s="32">
        <v>-3017</v>
      </c>
      <c r="CV393" s="32">
        <v>-3149</v>
      </c>
    </row>
    <row r="394" spans="69:100" ht="19" customHeight="1" x14ac:dyDescent="0.35">
      <c r="BQ394" s="1" t="str">
        <f t="shared" si="58"/>
        <v>CEMIG GT | Serviços de terceiros</v>
      </c>
      <c r="BT394" s="390"/>
      <c r="BV394" s="36" t="s">
        <v>78</v>
      </c>
      <c r="BW394" s="30">
        <v>-82725</v>
      </c>
      <c r="BX394" s="30">
        <v>-60064</v>
      </c>
      <c r="BY394" s="30">
        <v>-102922</v>
      </c>
      <c r="BZ394" s="32">
        <v>-71854</v>
      </c>
      <c r="CA394" s="32">
        <v>-61442</v>
      </c>
      <c r="CB394" s="32">
        <v>-57873</v>
      </c>
      <c r="CC394" s="32">
        <v>-72117</v>
      </c>
      <c r="CD394" s="32">
        <v>-63011</v>
      </c>
      <c r="CE394" s="32">
        <v>-62398</v>
      </c>
      <c r="CF394" s="32">
        <v>-56373</v>
      </c>
      <c r="CG394" s="32">
        <v>-47423</v>
      </c>
      <c r="CH394" s="32">
        <v>-59923</v>
      </c>
      <c r="CI394" s="32">
        <v>-64406</v>
      </c>
      <c r="CJ394" s="32">
        <v>-52547</v>
      </c>
      <c r="CK394" s="32">
        <v>-73474</v>
      </c>
      <c r="CL394" s="32">
        <v>-56680</v>
      </c>
      <c r="CM394" s="32">
        <v>-50433</v>
      </c>
      <c r="CN394" s="32">
        <v>-45080</v>
      </c>
      <c r="CO394" s="32">
        <v>-55624</v>
      </c>
      <c r="CP394" s="32">
        <v>-48447</v>
      </c>
      <c r="CQ394" s="32">
        <v>-40914</v>
      </c>
      <c r="CR394" s="32">
        <v>-34451</v>
      </c>
      <c r="CS394" s="32">
        <v>-47218</v>
      </c>
      <c r="CT394" s="32">
        <v>-40596</v>
      </c>
      <c r="CU394" s="32">
        <v>-34852</v>
      </c>
      <c r="CV394" s="32">
        <v>-34902</v>
      </c>
    </row>
    <row r="395" spans="69:100" ht="19" customHeight="1" x14ac:dyDescent="0.35">
      <c r="BQ395" s="1" t="str">
        <f t="shared" si="58"/>
        <v>CEMIG GT | Depreciação e amortização</v>
      </c>
      <c r="BT395" s="390"/>
      <c r="BV395" s="36" t="s">
        <v>79</v>
      </c>
      <c r="BW395" s="30">
        <v>-96321</v>
      </c>
      <c r="BX395" s="30">
        <v>-94505</v>
      </c>
      <c r="BY395" s="30">
        <v>-110921</v>
      </c>
      <c r="BZ395" s="32">
        <v>-82148</v>
      </c>
      <c r="CA395" s="32">
        <v>-82274</v>
      </c>
      <c r="CB395" s="32">
        <v>-84224</v>
      </c>
      <c r="CC395" s="32">
        <v>-82317</v>
      </c>
      <c r="CD395" s="32">
        <v>-83787</v>
      </c>
      <c r="CE395" s="32">
        <v>-83673</v>
      </c>
      <c r="CF395" s="32">
        <v>-83592</v>
      </c>
      <c r="CG395" s="32">
        <v>-86685</v>
      </c>
      <c r="CH395" s="32">
        <v>-80830</v>
      </c>
      <c r="CI395" s="32">
        <v>-80081</v>
      </c>
      <c r="CJ395" s="32">
        <v>-81145</v>
      </c>
      <c r="CK395" s="32">
        <v>-81915</v>
      </c>
      <c r="CL395" s="32">
        <v>-82288</v>
      </c>
      <c r="CM395" s="32">
        <v>-82307</v>
      </c>
      <c r="CN395" s="32">
        <v>-81877</v>
      </c>
      <c r="CO395" s="32">
        <v>-76925</v>
      </c>
      <c r="CP395" s="32">
        <v>-85517</v>
      </c>
      <c r="CQ395" s="32">
        <v>-49137</v>
      </c>
      <c r="CR395" s="32">
        <v>-47875</v>
      </c>
      <c r="CS395" s="32">
        <v>-56456</v>
      </c>
      <c r="CT395" s="32">
        <v>-50883</v>
      </c>
      <c r="CU395" s="32">
        <v>-51736</v>
      </c>
      <c r="CV395" s="32">
        <v>-52439</v>
      </c>
    </row>
    <row r="396" spans="69:100" ht="19" customHeight="1" x14ac:dyDescent="0.35">
      <c r="BQ396" s="1" t="str">
        <f t="shared" si="58"/>
        <v>CEMIG GT | Provisões para contingências</v>
      </c>
      <c r="BT396" s="390"/>
      <c r="BV396" s="36" t="s">
        <v>114</v>
      </c>
      <c r="BW396" s="30">
        <v>-189039</v>
      </c>
      <c r="BX396" s="30">
        <v>-8907</v>
      </c>
      <c r="BY396" s="30">
        <v>-52530</v>
      </c>
      <c r="BZ396" s="32">
        <v>65670</v>
      </c>
      <c r="CA396" s="32">
        <v>-1731</v>
      </c>
      <c r="CB396" s="32">
        <v>-16570</v>
      </c>
      <c r="CC396" s="32">
        <v>-39736</v>
      </c>
      <c r="CD396" s="32">
        <v>-6969</v>
      </c>
      <c r="CE396" s="32">
        <v>17856</v>
      </c>
      <c r="CF396" s="32">
        <v>-12691</v>
      </c>
      <c r="CG396" s="32">
        <v>-13510</v>
      </c>
      <c r="CH396" s="32">
        <v>-12381</v>
      </c>
      <c r="CI396" s="32">
        <v>-13724</v>
      </c>
      <c r="CJ396" s="32">
        <v>-9375</v>
      </c>
      <c r="CK396" s="32">
        <v>-292</v>
      </c>
      <c r="CL396" s="32">
        <v>18643</v>
      </c>
      <c r="CM396" s="32">
        <v>-11835</v>
      </c>
      <c r="CN396" s="32">
        <v>-16385</v>
      </c>
      <c r="CO396" s="32">
        <v>-10070</v>
      </c>
      <c r="CP396" s="32">
        <v>-5862</v>
      </c>
      <c r="CQ396" s="32">
        <v>-8006</v>
      </c>
      <c r="CR396" s="32">
        <v>-9363</v>
      </c>
      <c r="CS396" s="32">
        <v>-10927</v>
      </c>
      <c r="CT396" s="32">
        <v>-6223</v>
      </c>
      <c r="CU396" s="32">
        <v>-9250</v>
      </c>
      <c r="CV396" s="32">
        <v>-6925</v>
      </c>
    </row>
    <row r="397" spans="69:100" ht="19" customHeight="1" x14ac:dyDescent="0.35">
      <c r="BQ397" s="1" t="str">
        <f t="shared" si="58"/>
        <v>CEMIG GT | Reversão de provisão com partes relacionadas</v>
      </c>
      <c r="BV397" s="36" t="s">
        <v>125</v>
      </c>
      <c r="BW397" s="30">
        <v>0</v>
      </c>
      <c r="BX397" s="30">
        <v>0</v>
      </c>
      <c r="BY397" s="30">
        <v>0</v>
      </c>
      <c r="BZ397" s="32">
        <v>0</v>
      </c>
      <c r="CA397" s="32">
        <v>0</v>
      </c>
      <c r="CB397" s="32">
        <v>0</v>
      </c>
      <c r="CC397" s="32">
        <v>0</v>
      </c>
      <c r="CD397" s="32">
        <v>57835</v>
      </c>
      <c r="CE397" s="32">
        <v>0</v>
      </c>
      <c r="CF397" s="32">
        <v>0</v>
      </c>
      <c r="CG397" s="32">
        <v>0</v>
      </c>
      <c r="CH397" s="32">
        <v>0</v>
      </c>
      <c r="CI397" s="32">
        <v>0</v>
      </c>
      <c r="CJ397" s="32">
        <v>0</v>
      </c>
      <c r="CK397" s="32">
        <v>0</v>
      </c>
      <c r="CL397" s="32">
        <v>0</v>
      </c>
      <c r="CM397" s="32">
        <v>0</v>
      </c>
      <c r="CN397" s="32">
        <v>0</v>
      </c>
      <c r="CO397" s="32">
        <v>0</v>
      </c>
      <c r="CP397" s="32">
        <v>0</v>
      </c>
      <c r="CQ397" s="32">
        <v>0</v>
      </c>
      <c r="CR397" s="32">
        <v>0</v>
      </c>
      <c r="CS397" s="32">
        <v>0</v>
      </c>
      <c r="CT397" s="32">
        <v>0</v>
      </c>
      <c r="CU397" s="32">
        <v>0</v>
      </c>
      <c r="CV397" s="32">
        <v>0</v>
      </c>
    </row>
    <row r="398" spans="69:100" ht="19" customHeight="1" x14ac:dyDescent="0.35">
      <c r="BQ398" s="1" t="str">
        <f t="shared" si="58"/>
        <v>CEMIG GT | Perdas de créditos esperadas</v>
      </c>
      <c r="BT398" s="390"/>
      <c r="BV398" s="36" t="s">
        <v>82</v>
      </c>
      <c r="BW398" s="30">
        <v>1914</v>
      </c>
      <c r="BX398" s="30">
        <v>-2087</v>
      </c>
      <c r="BY398" s="30">
        <v>-1663</v>
      </c>
      <c r="BZ398" s="32">
        <v>-302</v>
      </c>
      <c r="CA398" s="32">
        <v>-599</v>
      </c>
      <c r="CB398" s="32">
        <v>-862</v>
      </c>
      <c r="CC398" s="32">
        <v>4299</v>
      </c>
      <c r="CD398" s="32">
        <v>-2000</v>
      </c>
      <c r="CE398" s="32">
        <v>-2131</v>
      </c>
      <c r="CF398" s="32">
        <v>3557</v>
      </c>
      <c r="CG398" s="32">
        <v>-4190</v>
      </c>
      <c r="CH398" s="32">
        <v>-772</v>
      </c>
      <c r="CI398" s="32">
        <v>221</v>
      </c>
      <c r="CJ398" s="32">
        <v>75</v>
      </c>
      <c r="CK398" s="32">
        <v>48</v>
      </c>
      <c r="CL398" s="32">
        <v>-884</v>
      </c>
      <c r="CM398" s="32">
        <v>-868</v>
      </c>
      <c r="CN398" s="32">
        <v>1173</v>
      </c>
      <c r="CO398" s="32">
        <v>-325</v>
      </c>
      <c r="CP398" s="32">
        <v>-7593</v>
      </c>
      <c r="CQ398" s="32">
        <v>-6691</v>
      </c>
      <c r="CR398" s="32">
        <v>1112</v>
      </c>
      <c r="CS398" s="32">
        <v>1113</v>
      </c>
      <c r="CT398" s="32">
        <v>4130</v>
      </c>
      <c r="CU398" s="32">
        <v>-12754</v>
      </c>
      <c r="CV398" s="32">
        <v>-3543</v>
      </c>
    </row>
    <row r="399" spans="69:100" ht="19" customHeight="1" x14ac:dyDescent="0.35">
      <c r="BQ399" s="1" t="str">
        <f t="shared" si="58"/>
        <v>CEMIG GT | Perda esperada com outros créditos</v>
      </c>
      <c r="BT399" s="390"/>
      <c r="BV399" s="36" t="s">
        <v>83</v>
      </c>
      <c r="BW399" s="30">
        <v>-4444</v>
      </c>
      <c r="BX399" s="30">
        <v>0</v>
      </c>
      <c r="BY399" s="30">
        <v>-999</v>
      </c>
      <c r="BZ399" s="32">
        <v>0</v>
      </c>
      <c r="CA399" s="32">
        <v>-5</v>
      </c>
      <c r="CB399" s="32">
        <v>0</v>
      </c>
      <c r="CC399" s="32">
        <v>5</v>
      </c>
      <c r="CD399" s="32">
        <v>0</v>
      </c>
      <c r="CE399" s="32">
        <v>-16395</v>
      </c>
      <c r="CF399" s="32">
        <v>0</v>
      </c>
      <c r="CG399" s="32">
        <v>0</v>
      </c>
      <c r="CH399" s="32">
        <v>0</v>
      </c>
      <c r="CI399" s="32">
        <v>0</v>
      </c>
      <c r="CJ399" s="32">
        <v>0</v>
      </c>
      <c r="CK399" s="32">
        <v>0</v>
      </c>
      <c r="CL399" s="32">
        <v>0</v>
      </c>
      <c r="CM399" s="32">
        <v>0</v>
      </c>
      <c r="CN399" s="32">
        <v>0</v>
      </c>
      <c r="CO399" s="32">
        <v>0</v>
      </c>
      <c r="CP399" s="32">
        <v>0</v>
      </c>
      <c r="CQ399" s="32">
        <v>0</v>
      </c>
      <c r="CR399" s="32">
        <v>0</v>
      </c>
      <c r="CS399" s="32">
        <v>-258</v>
      </c>
      <c r="CT399" s="32">
        <v>0</v>
      </c>
      <c r="CU399" s="32">
        <v>0</v>
      </c>
      <c r="CV399" s="32">
        <v>0</v>
      </c>
    </row>
    <row r="400" spans="69:100" ht="19" customHeight="1" x14ac:dyDescent="0.35">
      <c r="BQ400" s="1" t="str">
        <f t="shared" si="58"/>
        <v>CEMIG GT | Remensuração RBSE</v>
      </c>
      <c r="BT400" s="390"/>
      <c r="BV400" s="36" t="s">
        <v>87</v>
      </c>
      <c r="BW400" s="30">
        <v>0</v>
      </c>
      <c r="BX400" s="30">
        <v>0</v>
      </c>
      <c r="BY400" s="30">
        <v>0</v>
      </c>
      <c r="BZ400" s="32">
        <v>0</v>
      </c>
      <c r="CA400" s="32">
        <v>-198895</v>
      </c>
      <c r="CB400" s="32">
        <v>0</v>
      </c>
      <c r="CC400" s="32">
        <v>0</v>
      </c>
      <c r="CD400" s="32">
        <v>0</v>
      </c>
      <c r="CE400" s="32">
        <v>0</v>
      </c>
      <c r="CF400" s="32">
        <v>0</v>
      </c>
      <c r="CG400" s="32">
        <v>0</v>
      </c>
      <c r="CH400" s="32">
        <v>0</v>
      </c>
      <c r="CI400" s="32">
        <v>0</v>
      </c>
      <c r="CJ400" s="32">
        <v>0</v>
      </c>
      <c r="CK400" s="32">
        <v>0</v>
      </c>
      <c r="CL400" s="32">
        <v>0</v>
      </c>
      <c r="CM400" s="32">
        <v>0</v>
      </c>
      <c r="CN400" s="32">
        <v>0</v>
      </c>
      <c r="CO400" s="32">
        <v>0</v>
      </c>
      <c r="CP400" s="32">
        <v>0</v>
      </c>
      <c r="CQ400" s="32">
        <v>0</v>
      </c>
      <c r="CR400" s="32">
        <v>0</v>
      </c>
      <c r="CS400" s="32">
        <v>0</v>
      </c>
      <c r="CT400" s="32">
        <v>0</v>
      </c>
      <c r="CU400" s="32">
        <v>0</v>
      </c>
      <c r="CV400" s="32">
        <v>0</v>
      </c>
    </row>
    <row r="401" spans="69:100" ht="19" customHeight="1" x14ac:dyDescent="0.35">
      <c r="BQ401" s="1" t="str">
        <f t="shared" si="58"/>
        <v>CEMIG GT | Reversão de perda esperada com parte relacionada - Renova</v>
      </c>
      <c r="BV401" s="36" t="s">
        <v>126</v>
      </c>
      <c r="BW401" s="30">
        <v>0</v>
      </c>
      <c r="BX401" s="30">
        <v>0</v>
      </c>
      <c r="BY401" s="30">
        <v>0</v>
      </c>
      <c r="BZ401" s="32">
        <v>0</v>
      </c>
      <c r="CA401" s="32">
        <v>0</v>
      </c>
      <c r="CB401" s="32">
        <v>0</v>
      </c>
      <c r="CC401" s="32">
        <v>0</v>
      </c>
      <c r="CD401" s="32">
        <v>0</v>
      </c>
      <c r="CE401" s="32">
        <v>0</v>
      </c>
      <c r="CF401" s="32">
        <v>0</v>
      </c>
      <c r="CG401" s="32">
        <v>0</v>
      </c>
      <c r="CH401" s="32">
        <v>0</v>
      </c>
      <c r="CI401" s="32">
        <v>0</v>
      </c>
      <c r="CJ401" s="32">
        <v>0</v>
      </c>
      <c r="CK401" s="32">
        <v>0</v>
      </c>
      <c r="CL401" s="32">
        <v>0</v>
      </c>
      <c r="CM401" s="32">
        <v>53356</v>
      </c>
      <c r="CN401" s="32">
        <v>0</v>
      </c>
      <c r="CO401" s="32">
        <v>0</v>
      </c>
      <c r="CP401" s="32">
        <v>0</v>
      </c>
      <c r="CQ401" s="32">
        <v>0</v>
      </c>
      <c r="CR401" s="32">
        <v>0</v>
      </c>
      <c r="CS401" s="32">
        <v>0</v>
      </c>
      <c r="CT401" s="32">
        <v>0</v>
      </c>
      <c r="CU401" s="32">
        <v>0</v>
      </c>
      <c r="CV401" s="32">
        <v>0</v>
      </c>
    </row>
    <row r="402" spans="69:100" ht="19" customHeight="1" x14ac:dyDescent="0.35">
      <c r="BQ402" s="1" t="str">
        <f t="shared" si="58"/>
        <v>CEMIG GT | Opção de venda - SAAG</v>
      </c>
      <c r="BV402" s="36" t="s">
        <v>127</v>
      </c>
      <c r="BW402" s="30">
        <v>0</v>
      </c>
      <c r="BX402" s="30">
        <v>0</v>
      </c>
      <c r="BY402" s="30">
        <v>0</v>
      </c>
      <c r="BZ402" s="32">
        <v>0</v>
      </c>
      <c r="CA402" s="32">
        <v>0</v>
      </c>
      <c r="CB402" s="32">
        <v>0</v>
      </c>
      <c r="CC402" s="32">
        <v>0</v>
      </c>
      <c r="CD402" s="32">
        <v>0</v>
      </c>
      <c r="CE402" s="32">
        <v>0</v>
      </c>
      <c r="CF402" s="32">
        <v>0</v>
      </c>
      <c r="CG402" s="32">
        <v>0</v>
      </c>
      <c r="CH402" s="32">
        <v>0</v>
      </c>
      <c r="CI402" s="32">
        <v>-25046</v>
      </c>
      <c r="CJ402" s="32">
        <v>-32755</v>
      </c>
      <c r="CK402" s="32">
        <v>-18449</v>
      </c>
      <c r="CL402" s="32">
        <v>14724</v>
      </c>
      <c r="CM402" s="32">
        <v>-4972</v>
      </c>
      <c r="CN402" s="32">
        <v>-27427</v>
      </c>
      <c r="CO402" s="32">
        <v>-63802</v>
      </c>
      <c r="CP402" s="32">
        <v>-22977</v>
      </c>
      <c r="CQ402" s="32">
        <v>-26525</v>
      </c>
      <c r="CR402" s="32">
        <v>13167</v>
      </c>
      <c r="CS402" s="32">
        <v>-20268</v>
      </c>
      <c r="CT402" s="32">
        <v>-10246</v>
      </c>
      <c r="CU402" s="32">
        <v>-1988</v>
      </c>
      <c r="CV402" s="32">
        <v>-20812</v>
      </c>
    </row>
    <row r="403" spans="69:100" ht="19" customHeight="1" x14ac:dyDescent="0.35">
      <c r="BQ403" s="1" t="str">
        <f t="shared" si="58"/>
        <v>CEMIG GT | Perda (reversão) por redução ao valor recuperável</v>
      </c>
      <c r="BV403" s="36" t="s">
        <v>128</v>
      </c>
      <c r="BW403" s="30">
        <v>0</v>
      </c>
      <c r="BX403" s="30">
        <v>0</v>
      </c>
      <c r="BY403" s="30">
        <v>0</v>
      </c>
      <c r="BZ403" s="32">
        <v>0</v>
      </c>
      <c r="CA403" s="32">
        <v>0</v>
      </c>
      <c r="CB403" s="32">
        <v>0</v>
      </c>
      <c r="CC403" s="32">
        <v>-17087</v>
      </c>
      <c r="CD403" s="32">
        <v>-1508</v>
      </c>
      <c r="CE403" s="32">
        <v>-4358</v>
      </c>
      <c r="CF403" s="32">
        <v>-22958</v>
      </c>
      <c r="CG403" s="32">
        <v>0</v>
      </c>
      <c r="CH403" s="32">
        <v>45791</v>
      </c>
      <c r="CI403" s="32">
        <v>335</v>
      </c>
      <c r="CJ403" s="32">
        <v>-46126</v>
      </c>
      <c r="CK403" s="32">
        <v>29770</v>
      </c>
      <c r="CL403" s="32">
        <v>-37182</v>
      </c>
      <c r="CM403" s="32">
        <v>0</v>
      </c>
      <c r="CN403" s="32">
        <v>0</v>
      </c>
      <c r="CO403" s="32">
        <v>0</v>
      </c>
      <c r="CP403" s="32">
        <v>0</v>
      </c>
      <c r="CQ403" s="32">
        <v>0</v>
      </c>
      <c r="CR403" s="32">
        <v>0</v>
      </c>
      <c r="CS403" s="32">
        <v>0</v>
      </c>
      <c r="CT403" s="32">
        <v>0</v>
      </c>
      <c r="CU403" s="32">
        <v>0</v>
      </c>
      <c r="CV403" s="32">
        <v>0</v>
      </c>
    </row>
    <row r="404" spans="69:100" ht="19" customHeight="1" x14ac:dyDescent="0.35">
      <c r="BQ404" s="1" t="str">
        <f t="shared" si="58"/>
        <v>CEMIG GT | Ajuste a valor justo de ativo financeiro</v>
      </c>
      <c r="BV404" s="36" t="s">
        <v>129</v>
      </c>
      <c r="BW404" s="30">
        <v>0</v>
      </c>
      <c r="BX404" s="30">
        <v>0</v>
      </c>
      <c r="BY404" s="30">
        <v>0</v>
      </c>
      <c r="BZ404" s="32">
        <v>0</v>
      </c>
      <c r="CA404" s="32">
        <v>0</v>
      </c>
      <c r="CB404" s="32">
        <v>0</v>
      </c>
      <c r="CC404" s="32">
        <v>0</v>
      </c>
      <c r="CD404" s="32">
        <v>0</v>
      </c>
      <c r="CE404" s="32">
        <v>0</v>
      </c>
      <c r="CF404" s="32">
        <v>0</v>
      </c>
      <c r="CG404" s="32">
        <v>0</v>
      </c>
      <c r="CH404" s="32">
        <v>0</v>
      </c>
      <c r="CI404" s="32">
        <v>0</v>
      </c>
      <c r="CJ404" s="32">
        <v>0</v>
      </c>
      <c r="CK404" s="32">
        <v>0</v>
      </c>
      <c r="CL404" s="32">
        <v>0</v>
      </c>
      <c r="CM404" s="32">
        <v>-171770</v>
      </c>
      <c r="CN404" s="32">
        <v>0</v>
      </c>
      <c r="CO404" s="32">
        <v>0</v>
      </c>
      <c r="CP404" s="32">
        <v>0</v>
      </c>
      <c r="CQ404" s="32">
        <v>0</v>
      </c>
      <c r="CR404" s="32">
        <v>0</v>
      </c>
      <c r="CS404" s="32">
        <v>0</v>
      </c>
      <c r="CT404" s="32">
        <v>0</v>
      </c>
      <c r="CU404" s="32">
        <v>0</v>
      </c>
      <c r="CV404" s="32">
        <v>0</v>
      </c>
    </row>
    <row r="405" spans="69:100" ht="19" customHeight="1" x14ac:dyDescent="0.35">
      <c r="BQ405" s="1" t="str">
        <f t="shared" si="58"/>
        <v>CEMIG GT | Outros custos e despesas (reversões)</v>
      </c>
      <c r="BT405" s="390"/>
      <c r="BV405" s="36" t="s">
        <v>130</v>
      </c>
      <c r="BW405" s="30">
        <v>-46166</v>
      </c>
      <c r="BX405" s="30">
        <v>-3477</v>
      </c>
      <c r="BY405" s="30">
        <v>-25550</v>
      </c>
      <c r="BZ405" s="32">
        <v>-11438</v>
      </c>
      <c r="CA405" s="32">
        <v>-814</v>
      </c>
      <c r="CB405" s="32">
        <v>-9744</v>
      </c>
      <c r="CC405" s="32">
        <v>-17153</v>
      </c>
      <c r="CD405" s="32">
        <v>-33152</v>
      </c>
      <c r="CE405" s="32">
        <v>-19907</v>
      </c>
      <c r="CF405" s="32">
        <v>2606</v>
      </c>
      <c r="CG405" s="32">
        <v>-19848</v>
      </c>
      <c r="CH405" s="32">
        <v>-15613</v>
      </c>
      <c r="CI405" s="32">
        <v>-4052</v>
      </c>
      <c r="CJ405" s="32">
        <v>-12538</v>
      </c>
      <c r="CK405" s="32">
        <v>-18025</v>
      </c>
      <c r="CL405" s="32">
        <v>-12380</v>
      </c>
      <c r="CM405" s="32">
        <v>-15295</v>
      </c>
      <c r="CN405" s="32">
        <v>-6321</v>
      </c>
      <c r="CO405" s="32">
        <v>-66861</v>
      </c>
      <c r="CP405" s="32">
        <v>-14500</v>
      </c>
      <c r="CQ405" s="32">
        <v>-18102</v>
      </c>
      <c r="CR405" s="32">
        <v>-15067</v>
      </c>
      <c r="CS405" s="32">
        <v>-4945</v>
      </c>
      <c r="CT405" s="32">
        <v>-22891</v>
      </c>
      <c r="CU405" s="32">
        <v>-19911</v>
      </c>
      <c r="CV405" s="32">
        <v>-8319</v>
      </c>
    </row>
    <row r="406" spans="69:100" ht="19" customHeight="1" x14ac:dyDescent="0.35">
      <c r="BV406" s="7" t="s">
        <v>68</v>
      </c>
      <c r="BW406" s="77">
        <f>SUM(BW407:BW411)</f>
        <v>0</v>
      </c>
      <c r="BX406" s="77">
        <f>SUM(BX407:BX411)</f>
        <v>0</v>
      </c>
      <c r="BY406" s="77">
        <f>SUM(BY407:BY411)</f>
        <v>133712</v>
      </c>
      <c r="BZ406" s="77">
        <f t="shared" ref="BZ406:CV406" si="59">SUM(BZ407:BZ411)</f>
        <v>0</v>
      </c>
      <c r="CA406" s="77">
        <f t="shared" si="59"/>
        <v>0</v>
      </c>
      <c r="CB406" s="77">
        <f t="shared" si="59"/>
        <v>0</v>
      </c>
      <c r="CC406" s="77">
        <f t="shared" si="59"/>
        <v>0</v>
      </c>
      <c r="CD406" s="77">
        <f t="shared" si="59"/>
        <v>3137542</v>
      </c>
      <c r="CE406" s="77">
        <f t="shared" si="59"/>
        <v>0</v>
      </c>
      <c r="CF406" s="77">
        <f t="shared" si="59"/>
        <v>42989</v>
      </c>
      <c r="CG406" s="77">
        <f t="shared" si="59"/>
        <v>288308</v>
      </c>
      <c r="CH406" s="77">
        <f t="shared" si="59"/>
        <v>0</v>
      </c>
      <c r="CI406" s="77">
        <f t="shared" si="59"/>
        <v>0</v>
      </c>
      <c r="CJ406" s="77">
        <f t="shared" si="59"/>
        <v>30487</v>
      </c>
      <c r="CK406" s="77">
        <f t="shared" si="59"/>
        <v>0</v>
      </c>
      <c r="CL406" s="77">
        <f t="shared" si="59"/>
        <v>0</v>
      </c>
      <c r="CM406" s="77">
        <f t="shared" si="59"/>
        <v>6644</v>
      </c>
      <c r="CN406" s="77">
        <f t="shared" si="59"/>
        <v>0</v>
      </c>
      <c r="CO406" s="77">
        <f t="shared" si="59"/>
        <v>-2108</v>
      </c>
      <c r="CP406" s="77">
        <f t="shared" si="59"/>
        <v>0</v>
      </c>
      <c r="CQ406" s="77">
        <f t="shared" si="59"/>
        <v>211247</v>
      </c>
      <c r="CR406" s="77">
        <f t="shared" si="59"/>
        <v>5816</v>
      </c>
      <c r="CS406" s="77">
        <f t="shared" si="59"/>
        <v>22405</v>
      </c>
      <c r="CT406" s="77">
        <f t="shared" si="59"/>
        <v>0</v>
      </c>
      <c r="CU406" s="77">
        <f t="shared" si="59"/>
        <v>479703</v>
      </c>
      <c r="CV406" s="77">
        <f t="shared" si="59"/>
        <v>0</v>
      </c>
    </row>
    <row r="407" spans="69:100" ht="19" customHeight="1" x14ac:dyDescent="0.35">
      <c r="BQ407" s="1" t="str">
        <f t="shared" ref="BQ407:BQ413" si="60">_xlfn.CONCAT($BV$371," | ",BV407)</f>
        <v>CEMIG GT | Ganho na alienação de investimentos</v>
      </c>
      <c r="BV407" s="6" t="s">
        <v>92</v>
      </c>
      <c r="BW407" s="30">
        <v>0</v>
      </c>
      <c r="BX407" s="30">
        <v>0</v>
      </c>
      <c r="BY407" s="30">
        <v>59520</v>
      </c>
      <c r="BZ407" s="32">
        <v>0</v>
      </c>
      <c r="CA407" s="32">
        <v>0</v>
      </c>
      <c r="CB407" s="32">
        <v>0</v>
      </c>
      <c r="CC407" s="32">
        <v>-42989</v>
      </c>
      <c r="CD407" s="32">
        <v>1616911</v>
      </c>
      <c r="CE407" s="32">
        <v>0</v>
      </c>
      <c r="CF407" s="32">
        <v>42989</v>
      </c>
      <c r="CG407" s="32">
        <v>288308</v>
      </c>
      <c r="CH407" s="32">
        <v>0</v>
      </c>
      <c r="CI407" s="32">
        <v>0</v>
      </c>
      <c r="CJ407" s="32">
        <v>30487</v>
      </c>
      <c r="CK407" s="32">
        <v>0</v>
      </c>
      <c r="CL407" s="32">
        <v>0</v>
      </c>
      <c r="CM407" s="32">
        <v>6644</v>
      </c>
      <c r="CN407" s="32">
        <v>0</v>
      </c>
      <c r="CO407" s="32">
        <v>0</v>
      </c>
      <c r="CP407" s="32">
        <v>0</v>
      </c>
      <c r="CQ407" s="32">
        <v>0</v>
      </c>
      <c r="CR407" s="32">
        <v>0</v>
      </c>
      <c r="CS407" s="32">
        <v>0</v>
      </c>
      <c r="CT407" s="32">
        <v>0</v>
      </c>
      <c r="CU407" s="32">
        <v>0</v>
      </c>
      <c r="CV407" s="32">
        <v>0</v>
      </c>
    </row>
    <row r="408" spans="69:100" ht="19" customHeight="1" x14ac:dyDescent="0.35">
      <c r="BQ408" s="1" t="str">
        <f t="shared" si="60"/>
        <v>CEMIG GT | Ganho por compra vantajosa</v>
      </c>
      <c r="BV408" s="6" t="s">
        <v>93</v>
      </c>
      <c r="BW408" s="30">
        <v>0</v>
      </c>
      <c r="BX408" s="30">
        <v>0</v>
      </c>
      <c r="BY408" s="30">
        <v>12446</v>
      </c>
      <c r="BZ408" s="32">
        <v>0</v>
      </c>
      <c r="CA408" s="32">
        <v>0</v>
      </c>
      <c r="CB408" s="32">
        <v>0</v>
      </c>
      <c r="CC408" s="32">
        <v>0</v>
      </c>
      <c r="CD408" s="32">
        <v>0</v>
      </c>
      <c r="CE408" s="32">
        <v>0</v>
      </c>
      <c r="CF408" s="32">
        <v>0</v>
      </c>
      <c r="CG408" s="32">
        <v>0</v>
      </c>
      <c r="CH408" s="32">
        <v>0</v>
      </c>
      <c r="CI408" s="32">
        <v>0</v>
      </c>
      <c r="CJ408" s="32">
        <v>0</v>
      </c>
      <c r="CK408" s="32">
        <v>0</v>
      </c>
      <c r="CL408" s="32">
        <v>0</v>
      </c>
      <c r="CM408" s="32">
        <v>0</v>
      </c>
      <c r="CN408" s="32">
        <v>0</v>
      </c>
      <c r="CO408" s="32">
        <v>0</v>
      </c>
      <c r="CP408" s="32">
        <v>0</v>
      </c>
      <c r="CQ408" s="32">
        <v>0</v>
      </c>
      <c r="CR408" s="32">
        <v>0</v>
      </c>
      <c r="CS408" s="32">
        <v>0</v>
      </c>
      <c r="CT408" s="32">
        <v>0</v>
      </c>
      <c r="CU408" s="32">
        <v>0</v>
      </c>
      <c r="CV408" s="32">
        <v>0</v>
      </c>
    </row>
    <row r="409" spans="69:100" ht="19" customHeight="1" x14ac:dyDescent="0.35">
      <c r="BQ409" s="1" t="str">
        <f t="shared" si="60"/>
        <v xml:space="preserve">CEMIG GT | Ganho na alienação de imobilizados </v>
      </c>
      <c r="BV409" s="6" t="s">
        <v>131</v>
      </c>
      <c r="BW409" s="30">
        <v>0</v>
      </c>
      <c r="BX409" s="30">
        <v>0</v>
      </c>
      <c r="BY409" s="30">
        <v>0</v>
      </c>
      <c r="BZ409" s="32">
        <v>0</v>
      </c>
      <c r="CA409" s="32">
        <v>0</v>
      </c>
      <c r="CB409" s="32">
        <v>0</v>
      </c>
      <c r="CC409" s="32">
        <v>42989</v>
      </c>
      <c r="CD409" s="32">
        <v>0</v>
      </c>
      <c r="CE409" s="32">
        <v>0</v>
      </c>
      <c r="CF409" s="32">
        <v>0</v>
      </c>
      <c r="CG409" s="32">
        <v>0</v>
      </c>
      <c r="CH409" s="32">
        <v>0</v>
      </c>
      <c r="CI409" s="32">
        <v>0</v>
      </c>
      <c r="CJ409" s="32">
        <v>0</v>
      </c>
      <c r="CK409" s="32">
        <v>0</v>
      </c>
      <c r="CL409" s="32">
        <v>0</v>
      </c>
      <c r="CM409" s="32">
        <v>0</v>
      </c>
      <c r="CN409" s="32">
        <v>0</v>
      </c>
      <c r="CO409" s="32">
        <v>0</v>
      </c>
      <c r="CP409" s="32">
        <v>0</v>
      </c>
      <c r="CQ409" s="32">
        <v>0</v>
      </c>
      <c r="CR409" s="32">
        <v>0</v>
      </c>
      <c r="CS409" s="32">
        <v>0</v>
      </c>
      <c r="CT409" s="32">
        <v>0</v>
      </c>
      <c r="CU409" s="32">
        <v>0</v>
      </c>
      <c r="CV409" s="32">
        <v>0</v>
      </c>
    </row>
    <row r="410" spans="69:100" ht="19" customHeight="1" x14ac:dyDescent="0.35">
      <c r="BQ410" s="1" t="str">
        <f t="shared" si="60"/>
        <v>CEMIG GT | Ganho de capital</v>
      </c>
      <c r="BV410" s="6" t="s">
        <v>132</v>
      </c>
      <c r="BW410" s="30">
        <v>0</v>
      </c>
      <c r="BX410" s="30">
        <v>0</v>
      </c>
      <c r="BY410" s="30">
        <v>61746</v>
      </c>
      <c r="BZ410" s="32">
        <v>0</v>
      </c>
      <c r="CA410" s="32">
        <v>0</v>
      </c>
      <c r="CB410" s="32">
        <v>0</v>
      </c>
      <c r="CC410" s="32">
        <v>0</v>
      </c>
      <c r="CD410" s="32">
        <v>0</v>
      </c>
      <c r="CE410" s="32">
        <v>0</v>
      </c>
      <c r="CF410" s="32">
        <v>0</v>
      </c>
      <c r="CG410" s="32">
        <v>0</v>
      </c>
      <c r="CH410" s="32">
        <v>0</v>
      </c>
      <c r="CI410" s="32">
        <v>0</v>
      </c>
      <c r="CJ410" s="32">
        <v>0</v>
      </c>
      <c r="CK410" s="32">
        <v>0</v>
      </c>
      <c r="CL410" s="32">
        <v>0</v>
      </c>
      <c r="CM410" s="32">
        <v>0</v>
      </c>
      <c r="CN410" s="32">
        <v>0</v>
      </c>
      <c r="CO410" s="32">
        <v>0</v>
      </c>
      <c r="CP410" s="32">
        <v>0</v>
      </c>
      <c r="CQ410" s="32">
        <v>0</v>
      </c>
      <c r="CR410" s="32">
        <v>0</v>
      </c>
      <c r="CS410" s="32">
        <v>0</v>
      </c>
      <c r="CT410" s="32">
        <v>0</v>
      </c>
      <c r="CU410" s="32">
        <v>0</v>
      </c>
      <c r="CV410" s="32">
        <v>0</v>
      </c>
    </row>
    <row r="411" spans="69:100" ht="19" customHeight="1" x14ac:dyDescent="0.35">
      <c r="BQ411" s="1" t="str">
        <f t="shared" si="60"/>
        <v>CEMIG GT | Revisão Tarifária Periódica, liquida</v>
      </c>
      <c r="BV411" s="6" t="s">
        <v>133</v>
      </c>
      <c r="BW411" s="30">
        <v>0</v>
      </c>
      <c r="BX411" s="30">
        <v>0</v>
      </c>
      <c r="BY411" s="30">
        <v>0</v>
      </c>
      <c r="BZ411" s="32">
        <v>0</v>
      </c>
      <c r="CA411" s="32">
        <v>0</v>
      </c>
      <c r="CB411" s="32">
        <v>0</v>
      </c>
      <c r="CC411" s="32">
        <v>0</v>
      </c>
      <c r="CD411" s="32">
        <v>1520631</v>
      </c>
      <c r="CE411" s="32">
        <v>0</v>
      </c>
      <c r="CF411" s="32">
        <v>0</v>
      </c>
      <c r="CG411" s="32">
        <v>0</v>
      </c>
      <c r="CH411" s="32">
        <v>0</v>
      </c>
      <c r="CI411" s="32">
        <v>0</v>
      </c>
      <c r="CJ411" s="32">
        <v>0</v>
      </c>
      <c r="CK411" s="32">
        <v>0</v>
      </c>
      <c r="CL411" s="32">
        <v>0</v>
      </c>
      <c r="CM411" s="32">
        <v>0</v>
      </c>
      <c r="CN411" s="32">
        <v>0</v>
      </c>
      <c r="CO411" s="32">
        <v>-2108</v>
      </c>
      <c r="CP411" s="32">
        <v>0</v>
      </c>
      <c r="CQ411" s="32">
        <v>211247</v>
      </c>
      <c r="CR411" s="32">
        <v>5816</v>
      </c>
      <c r="CS411" s="32">
        <v>22405</v>
      </c>
      <c r="CT411" s="32">
        <v>0</v>
      </c>
      <c r="CU411" s="32">
        <v>479703</v>
      </c>
      <c r="CV411" s="32">
        <v>0</v>
      </c>
    </row>
    <row r="412" spans="69:100" ht="19" customHeight="1" x14ac:dyDescent="0.35">
      <c r="BQ412" s="1" t="str">
        <f t="shared" si="60"/>
        <v>CEMIG GT | Outros</v>
      </c>
      <c r="BV412" s="36" t="s">
        <v>23</v>
      </c>
      <c r="BW412" s="32">
        <v>0</v>
      </c>
      <c r="BX412" s="32">
        <v>0</v>
      </c>
      <c r="BY412" s="32">
        <v>0</v>
      </c>
      <c r="BZ412" s="32">
        <v>0</v>
      </c>
      <c r="CA412" s="32">
        <v>0</v>
      </c>
      <c r="CB412" s="32">
        <v>0</v>
      </c>
      <c r="CC412" s="32">
        <v>0</v>
      </c>
      <c r="CD412" s="32">
        <v>0</v>
      </c>
      <c r="CE412" s="32">
        <v>0</v>
      </c>
      <c r="CF412" s="32">
        <v>0</v>
      </c>
      <c r="CG412" s="32">
        <v>0</v>
      </c>
      <c r="CH412" s="32">
        <v>0</v>
      </c>
      <c r="CI412" s="32">
        <v>0</v>
      </c>
      <c r="CJ412" s="32">
        <v>0</v>
      </c>
      <c r="CK412" s="32">
        <v>0</v>
      </c>
      <c r="CL412" s="32">
        <v>0</v>
      </c>
      <c r="CM412" s="32">
        <v>0</v>
      </c>
      <c r="CN412" s="32">
        <v>0</v>
      </c>
      <c r="CO412" s="32">
        <v>0</v>
      </c>
      <c r="CP412" s="32">
        <v>122208</v>
      </c>
      <c r="CQ412" s="32">
        <v>909601</v>
      </c>
      <c r="CR412" s="32">
        <v>0</v>
      </c>
      <c r="CS412" s="32">
        <v>0</v>
      </c>
      <c r="CT412" s="32">
        <v>0</v>
      </c>
      <c r="CU412" s="32">
        <v>0</v>
      </c>
      <c r="CV412" s="32">
        <v>0</v>
      </c>
    </row>
    <row r="413" spans="69:100" ht="25" customHeight="1" x14ac:dyDescent="0.35">
      <c r="BQ413" s="1" t="str">
        <f t="shared" si="60"/>
        <v>CEMIG GT | RESULTADO DE EQUIVALÊNCIA PATRIMONIAL</v>
      </c>
      <c r="BV413" s="42" t="s">
        <v>8</v>
      </c>
      <c r="BW413" s="52">
        <v>-28626</v>
      </c>
      <c r="BX413" s="52">
        <v>-21233</v>
      </c>
      <c r="BY413" s="52">
        <v>-34635</v>
      </c>
      <c r="BZ413" s="52">
        <v>-35788</v>
      </c>
      <c r="CA413" s="52">
        <v>-32835</v>
      </c>
      <c r="CB413" s="52">
        <v>-38234</v>
      </c>
      <c r="CC413" s="52">
        <v>-83007</v>
      </c>
      <c r="CD413" s="52">
        <v>-30430</v>
      </c>
      <c r="CE413" s="52">
        <v>-15905</v>
      </c>
      <c r="CF413" s="52">
        <v>7641</v>
      </c>
      <c r="CG413" s="52">
        <v>33963</v>
      </c>
      <c r="CH413" s="52">
        <v>12353</v>
      </c>
      <c r="CI413" s="52">
        <v>25532</v>
      </c>
      <c r="CJ413" s="52">
        <v>69506</v>
      </c>
      <c r="CK413" s="52">
        <v>70207</v>
      </c>
      <c r="CL413" s="52">
        <v>175118</v>
      </c>
      <c r="CM413" s="52">
        <v>217940</v>
      </c>
      <c r="CN413" s="52">
        <v>56080</v>
      </c>
      <c r="CO413" s="52">
        <v>-361800</v>
      </c>
      <c r="CP413" s="52">
        <v>178884</v>
      </c>
      <c r="CQ413" s="52">
        <v>-119347</v>
      </c>
      <c r="CR413" s="52">
        <v>-3493</v>
      </c>
      <c r="CS413" s="52">
        <v>-100469</v>
      </c>
      <c r="CT413" s="52">
        <v>-33684</v>
      </c>
      <c r="CU413" s="52">
        <v>-7852</v>
      </c>
      <c r="CV413" s="52">
        <v>5457</v>
      </c>
    </row>
    <row r="414" spans="69:100" ht="25" customHeight="1" x14ac:dyDescent="0.35">
      <c r="BV414" s="42" t="s">
        <v>9</v>
      </c>
      <c r="BW414" s="52">
        <f t="shared" ref="BW414:BX414" si="61">IFERROR(SUM(BW374,BW386,BW413),0)</f>
        <v>381839</v>
      </c>
      <c r="BX414" s="52">
        <f t="shared" si="61"/>
        <v>481143</v>
      </c>
      <c r="BY414" s="52">
        <f t="shared" ref="BY414:CV414" si="62">IFERROR(SUM(BY374,BY386,BY413),0)</f>
        <v>691976</v>
      </c>
      <c r="BZ414" s="52">
        <f t="shared" si="62"/>
        <v>447518</v>
      </c>
      <c r="CA414" s="52">
        <f t="shared" si="62"/>
        <v>332816</v>
      </c>
      <c r="CB414" s="52">
        <f t="shared" si="62"/>
        <v>665097</v>
      </c>
      <c r="CC414" s="52">
        <f t="shared" si="62"/>
        <v>441233</v>
      </c>
      <c r="CD414" s="52">
        <f t="shared" si="62"/>
        <v>3718064</v>
      </c>
      <c r="CE414" s="52">
        <f t="shared" si="62"/>
        <v>557740</v>
      </c>
      <c r="CF414" s="52">
        <f t="shared" si="62"/>
        <v>717301</v>
      </c>
      <c r="CG414" s="52">
        <f t="shared" si="62"/>
        <v>1086065</v>
      </c>
      <c r="CH414" s="52">
        <f t="shared" si="62"/>
        <v>709917</v>
      </c>
      <c r="CI414" s="52">
        <f t="shared" si="62"/>
        <v>548986</v>
      </c>
      <c r="CJ414" s="52">
        <f t="shared" si="62"/>
        <v>737752</v>
      </c>
      <c r="CK414" s="52">
        <f t="shared" si="62"/>
        <v>618613</v>
      </c>
      <c r="CL414" s="52">
        <f t="shared" si="62"/>
        <v>418865</v>
      </c>
      <c r="CM414" s="52">
        <f t="shared" si="62"/>
        <v>780494</v>
      </c>
      <c r="CN414" s="52">
        <f t="shared" si="62"/>
        <v>862668</v>
      </c>
      <c r="CO414" s="52">
        <f t="shared" si="62"/>
        <v>221390</v>
      </c>
      <c r="CP414" s="52">
        <f t="shared" si="62"/>
        <v>713505</v>
      </c>
      <c r="CQ414" s="52">
        <f t="shared" si="62"/>
        <v>1649713</v>
      </c>
      <c r="CR414" s="52">
        <f t="shared" si="62"/>
        <v>697727</v>
      </c>
      <c r="CS414" s="52">
        <f t="shared" si="62"/>
        <v>451419</v>
      </c>
      <c r="CT414" s="52">
        <f t="shared" si="62"/>
        <v>539217</v>
      </c>
      <c r="CU414" s="52">
        <f t="shared" si="62"/>
        <v>747205</v>
      </c>
      <c r="CV414" s="52">
        <f t="shared" si="62"/>
        <v>635648</v>
      </c>
    </row>
    <row r="415" spans="69:100" ht="25" customHeight="1" x14ac:dyDescent="0.35">
      <c r="BV415" s="42" t="s">
        <v>10</v>
      </c>
      <c r="BW415" s="52">
        <f>IFERROR(SUM(BW416:BW417),0)</f>
        <v>-119860</v>
      </c>
      <c r="BX415" s="52">
        <f>IFERROR(SUM(BX416:BX417),0)</f>
        <v>-51522</v>
      </c>
      <c r="BY415" s="52">
        <f>IFERROR(SUM(BY416:BY417),0)</f>
        <v>-33825</v>
      </c>
      <c r="BZ415" s="52">
        <f>IFERROR(SUM(BZ416:BZ417),0)</f>
        <v>-27282</v>
      </c>
      <c r="CA415" s="52">
        <f>IFERROR(SUM(CA416:CA417),0)</f>
        <v>-8834</v>
      </c>
      <c r="CB415" s="52">
        <f t="shared" ref="CB415:CK415" si="63">IFERROR(SUM(CB416:CB417),0)</f>
        <v>-15554</v>
      </c>
      <c r="CC415" s="52">
        <f t="shared" si="63"/>
        <v>-221649</v>
      </c>
      <c r="CD415" s="52">
        <f t="shared" si="63"/>
        <v>36376</v>
      </c>
      <c r="CE415" s="52">
        <f t="shared" si="63"/>
        <v>-190360</v>
      </c>
      <c r="CF415" s="52">
        <f t="shared" si="63"/>
        <v>-68752</v>
      </c>
      <c r="CG415" s="52">
        <f t="shared" si="63"/>
        <v>-9151</v>
      </c>
      <c r="CH415" s="52">
        <f t="shared" si="63"/>
        <v>-107267</v>
      </c>
      <c r="CI415" s="52">
        <f t="shared" si="63"/>
        <v>14769</v>
      </c>
      <c r="CJ415" s="52">
        <f t="shared" si="63"/>
        <v>5812</v>
      </c>
      <c r="CK415" s="52">
        <f t="shared" si="63"/>
        <v>-92341</v>
      </c>
      <c r="CL415" s="52">
        <f>IFERROR(SUM(CL416:CL417),0)</f>
        <v>-147075</v>
      </c>
      <c r="CM415" s="52">
        <f t="shared" ref="CM415:CV415" si="64">IFERROR(SUM(CM416:CM417),0)</f>
        <v>-534756</v>
      </c>
      <c r="CN415" s="52">
        <f t="shared" si="64"/>
        <v>296881</v>
      </c>
      <c r="CO415" s="52">
        <f t="shared" si="64"/>
        <v>-249358</v>
      </c>
      <c r="CP415" s="52">
        <f t="shared" si="64"/>
        <v>-1142300</v>
      </c>
      <c r="CQ415" s="52">
        <f t="shared" si="64"/>
        <v>428195</v>
      </c>
      <c r="CR415" s="52">
        <f t="shared" si="64"/>
        <v>-1197247</v>
      </c>
      <c r="CS415" s="52">
        <f t="shared" si="64"/>
        <v>425025</v>
      </c>
      <c r="CT415" s="52">
        <f t="shared" si="64"/>
        <v>-495479</v>
      </c>
      <c r="CU415" s="52">
        <f t="shared" si="64"/>
        <v>-133702</v>
      </c>
      <c r="CV415" s="52">
        <f t="shared" si="64"/>
        <v>-689673</v>
      </c>
    </row>
    <row r="416" spans="69:100" ht="19" customHeight="1" x14ac:dyDescent="0.35">
      <c r="BQ416" s="1" t="str">
        <f>_xlfn.CONCAT($BV$371," | ",BV416)</f>
        <v>CEMIG GT | Receitas financeiras</v>
      </c>
      <c r="BV416" s="36" t="s">
        <v>11</v>
      </c>
      <c r="BW416" s="32">
        <v>65341</v>
      </c>
      <c r="BX416" s="32">
        <v>47785</v>
      </c>
      <c r="BY416" s="32">
        <v>63334</v>
      </c>
      <c r="BZ416" s="32">
        <v>45387</v>
      </c>
      <c r="CA416" s="32">
        <v>63963</v>
      </c>
      <c r="CB416" s="32">
        <v>31621</v>
      </c>
      <c r="CC416" s="32">
        <v>62638</v>
      </c>
      <c r="CD416" s="32">
        <v>129762</v>
      </c>
      <c r="CE416" s="32">
        <v>127934</v>
      </c>
      <c r="CF416" s="32">
        <v>81867</v>
      </c>
      <c r="CG416" s="32">
        <v>-5055</v>
      </c>
      <c r="CH416" s="32">
        <v>179780</v>
      </c>
      <c r="CI416" s="32">
        <v>310387</v>
      </c>
      <c r="CJ416" s="32">
        <v>173259</v>
      </c>
      <c r="CK416" s="32">
        <v>-585409</v>
      </c>
      <c r="CL416" s="32">
        <v>178240</v>
      </c>
      <c r="CM416" s="32">
        <v>113292</v>
      </c>
      <c r="CN416" s="32">
        <v>897909</v>
      </c>
      <c r="CO416" s="32">
        <v>-1034763</v>
      </c>
      <c r="CP416" s="32">
        <v>73753</v>
      </c>
      <c r="CQ416" s="32">
        <v>1076073</v>
      </c>
      <c r="CR416" s="32">
        <v>22970</v>
      </c>
      <c r="CS416" s="32">
        <v>-526</v>
      </c>
      <c r="CT416" s="32">
        <v>31380</v>
      </c>
      <c r="CU416" s="32">
        <v>517292</v>
      </c>
      <c r="CV416" s="32">
        <v>1341869</v>
      </c>
    </row>
    <row r="417" spans="69:100" ht="19" customHeight="1" x14ac:dyDescent="0.35">
      <c r="BQ417" s="1" t="str">
        <f>_xlfn.CONCAT($BV$371," | ",BV417)</f>
        <v>CEMIG GT | Despesas financeiras</v>
      </c>
      <c r="BV417" s="36" t="s">
        <v>12</v>
      </c>
      <c r="BW417" s="32">
        <v>-185201</v>
      </c>
      <c r="BX417" s="32">
        <v>-99307</v>
      </c>
      <c r="BY417" s="32">
        <v>-97159</v>
      </c>
      <c r="BZ417" s="32">
        <v>-72669</v>
      </c>
      <c r="CA417" s="32">
        <v>-72797</v>
      </c>
      <c r="CB417" s="32">
        <v>-47175</v>
      </c>
      <c r="CC417" s="32">
        <v>-284287</v>
      </c>
      <c r="CD417" s="32">
        <v>-93386</v>
      </c>
      <c r="CE417" s="32">
        <v>-318294</v>
      </c>
      <c r="CF417" s="32">
        <v>-150619</v>
      </c>
      <c r="CG417" s="32">
        <v>-4096</v>
      </c>
      <c r="CH417" s="32">
        <v>-287047</v>
      </c>
      <c r="CI417" s="32">
        <v>-295618</v>
      </c>
      <c r="CJ417" s="32">
        <v>-167447</v>
      </c>
      <c r="CK417" s="32">
        <v>493068</v>
      </c>
      <c r="CL417" s="32">
        <v>-325315</v>
      </c>
      <c r="CM417" s="32">
        <v>-648048</v>
      </c>
      <c r="CN417" s="32">
        <v>-601028</v>
      </c>
      <c r="CO417" s="32">
        <v>785405</v>
      </c>
      <c r="CP417" s="32">
        <v>-1216053</v>
      </c>
      <c r="CQ417" s="32">
        <v>-647878</v>
      </c>
      <c r="CR417" s="32">
        <v>-1220217</v>
      </c>
      <c r="CS417" s="32">
        <v>425551</v>
      </c>
      <c r="CT417" s="32">
        <v>-526859</v>
      </c>
      <c r="CU417" s="32">
        <v>-650994</v>
      </c>
      <c r="CV417" s="32">
        <v>-2031542</v>
      </c>
    </row>
    <row r="418" spans="69:100" ht="25" customHeight="1" x14ac:dyDescent="0.35">
      <c r="BV418" s="42" t="s">
        <v>13</v>
      </c>
      <c r="BW418" s="52">
        <f>IFERROR(SUM(BW414:BW415),0)</f>
        <v>261979</v>
      </c>
      <c r="BX418" s="52">
        <f>IFERROR(SUM(BX414:BX415),0)</f>
        <v>429621</v>
      </c>
      <c r="BY418" s="52">
        <f>IFERROR(SUM(BY414:BY415),0)</f>
        <v>658151</v>
      </c>
      <c r="BZ418" s="52">
        <f t="shared" ref="BZ418:CU418" si="65">IFERROR(SUM(BZ414:BZ415),0)</f>
        <v>420236</v>
      </c>
      <c r="CA418" s="52">
        <f t="shared" si="65"/>
        <v>323982</v>
      </c>
      <c r="CB418" s="52">
        <f t="shared" si="65"/>
        <v>649543</v>
      </c>
      <c r="CC418" s="52">
        <f t="shared" si="65"/>
        <v>219584</v>
      </c>
      <c r="CD418" s="52">
        <f t="shared" si="65"/>
        <v>3754440</v>
      </c>
      <c r="CE418" s="52">
        <f t="shared" si="65"/>
        <v>367380</v>
      </c>
      <c r="CF418" s="52">
        <f t="shared" si="65"/>
        <v>648549</v>
      </c>
      <c r="CG418" s="52">
        <f t="shared" si="65"/>
        <v>1076914</v>
      </c>
      <c r="CH418" s="52">
        <f t="shared" si="65"/>
        <v>602650</v>
      </c>
      <c r="CI418" s="52">
        <f t="shared" si="65"/>
        <v>563755</v>
      </c>
      <c r="CJ418" s="52">
        <f t="shared" si="65"/>
        <v>743564</v>
      </c>
      <c r="CK418" s="52">
        <f t="shared" si="65"/>
        <v>526272</v>
      </c>
      <c r="CL418" s="52">
        <f t="shared" si="65"/>
        <v>271790</v>
      </c>
      <c r="CM418" s="52">
        <f t="shared" si="65"/>
        <v>245738</v>
      </c>
      <c r="CN418" s="52">
        <f t="shared" si="65"/>
        <v>1159549</v>
      </c>
      <c r="CO418" s="52">
        <f t="shared" si="65"/>
        <v>-27968</v>
      </c>
      <c r="CP418" s="52">
        <f t="shared" si="65"/>
        <v>-428795</v>
      </c>
      <c r="CQ418" s="52">
        <f t="shared" si="65"/>
        <v>2077908</v>
      </c>
      <c r="CR418" s="52">
        <f t="shared" si="65"/>
        <v>-499520</v>
      </c>
      <c r="CS418" s="52">
        <f t="shared" si="65"/>
        <v>876444</v>
      </c>
      <c r="CT418" s="52">
        <f t="shared" si="65"/>
        <v>43738</v>
      </c>
      <c r="CU418" s="52">
        <f t="shared" si="65"/>
        <v>613503</v>
      </c>
      <c r="CV418" s="52">
        <f>IFERROR(SUM(CV414:CV415),0)</f>
        <v>-54025</v>
      </c>
    </row>
    <row r="419" spans="69:100" ht="25" customHeight="1" x14ac:dyDescent="0.35">
      <c r="BV419" s="18" t="s">
        <v>97</v>
      </c>
      <c r="BW419" s="52">
        <f>IFERROR(SUM(BW420:BW421),0)</f>
        <v>7611</v>
      </c>
      <c r="BX419" s="52">
        <f>IFERROR(SUM(BX420:BX421),0)</f>
        <v>-36901</v>
      </c>
      <c r="BY419" s="52">
        <f>IFERROR(SUM(BY420:BY421),0)</f>
        <v>-110787</v>
      </c>
      <c r="BZ419" s="52">
        <f>IFERROR(SUM(BZ420:BZ421),0)</f>
        <v>-33736</v>
      </c>
      <c r="CA419" s="52">
        <f t="shared" ref="CA419:CK419" si="66">IFERROR(SUM(CA420:CA421),0)</f>
        <v>18138</v>
      </c>
      <c r="CB419" s="52">
        <f t="shared" si="66"/>
        <v>-108265</v>
      </c>
      <c r="CC419" s="52">
        <f t="shared" si="66"/>
        <v>17649</v>
      </c>
      <c r="CD419" s="52">
        <f t="shared" si="66"/>
        <v>-1121089</v>
      </c>
      <c r="CE419" s="52">
        <f t="shared" si="66"/>
        <v>-39457</v>
      </c>
      <c r="CF419" s="52">
        <f t="shared" si="66"/>
        <v>-154743</v>
      </c>
      <c r="CG419" s="52">
        <f t="shared" si="66"/>
        <v>-233251</v>
      </c>
      <c r="CH419" s="52">
        <f t="shared" si="66"/>
        <v>-112636</v>
      </c>
      <c r="CI419" s="52">
        <f t="shared" si="66"/>
        <v>-104269</v>
      </c>
      <c r="CJ419" s="52">
        <f t="shared" si="66"/>
        <v>-134061</v>
      </c>
      <c r="CK419" s="52">
        <f t="shared" si="66"/>
        <v>-95462</v>
      </c>
      <c r="CL419" s="52">
        <f>IFERROR(SUM(CL420:CL421),0)</f>
        <v>-20548</v>
      </c>
      <c r="CM419" s="52">
        <f t="shared" ref="CM419:CV419" si="67">IFERROR(SUM(CM420:CM421),0)</f>
        <v>344152</v>
      </c>
      <c r="CN419" s="52">
        <f t="shared" si="67"/>
        <v>-346035</v>
      </c>
      <c r="CO419" s="52">
        <f t="shared" si="67"/>
        <v>-22895</v>
      </c>
      <c r="CP419" s="52">
        <f t="shared" si="67"/>
        <v>218136</v>
      </c>
      <c r="CQ419" s="52">
        <f t="shared" si="67"/>
        <v>-633579</v>
      </c>
      <c r="CR419" s="52">
        <f t="shared" si="67"/>
        <v>188147</v>
      </c>
      <c r="CS419" s="52">
        <f t="shared" si="67"/>
        <v>-249180</v>
      </c>
      <c r="CT419" s="52">
        <f t="shared" si="67"/>
        <v>-6810</v>
      </c>
      <c r="CU419" s="52">
        <f t="shared" si="67"/>
        <v>-206836</v>
      </c>
      <c r="CV419" s="52">
        <f t="shared" si="67"/>
        <v>38701</v>
      </c>
    </row>
    <row r="420" spans="69:100" ht="19" customHeight="1" x14ac:dyDescent="0.35">
      <c r="BQ420" s="1" t="str">
        <f>_xlfn.CONCAT($BV$371," | ",BV420)</f>
        <v>CEMIG GT | Imposto de renda e contribuição social</v>
      </c>
      <c r="BV420" s="36" t="s">
        <v>15</v>
      </c>
      <c r="BW420" s="50">
        <v>-37565</v>
      </c>
      <c r="BX420" s="50">
        <v>-48178</v>
      </c>
      <c r="BY420" s="50">
        <v>-4085</v>
      </c>
      <c r="BZ420" s="50">
        <v>-47813</v>
      </c>
      <c r="CA420" s="50">
        <v>-71635</v>
      </c>
      <c r="CB420" s="50">
        <v>-127876</v>
      </c>
      <c r="CC420" s="50">
        <v>-161661</v>
      </c>
      <c r="CD420" s="50">
        <v>-668763</v>
      </c>
      <c r="CE420" s="50">
        <v>-17590</v>
      </c>
      <c r="CF420" s="50">
        <v>-93000</v>
      </c>
      <c r="CG420" s="50">
        <v>-185387</v>
      </c>
      <c r="CH420" s="50">
        <v>-70619</v>
      </c>
      <c r="CI420" s="50">
        <v>-8350</v>
      </c>
      <c r="CJ420" s="50">
        <v>-129177</v>
      </c>
      <c r="CK420" s="50">
        <v>-21037</v>
      </c>
      <c r="CL420" s="50">
        <v>-49665</v>
      </c>
      <c r="CM420" s="50">
        <v>240686</v>
      </c>
      <c r="CN420" s="50">
        <v>-369268</v>
      </c>
      <c r="CO420" s="50">
        <v>-42155</v>
      </c>
      <c r="CP420" s="50">
        <v>167592</v>
      </c>
      <c r="CQ420" s="50">
        <v>-431974</v>
      </c>
      <c r="CR420" s="50">
        <v>-57463</v>
      </c>
      <c r="CS420" s="50">
        <v>-38364</v>
      </c>
      <c r="CT420" s="50">
        <v>-48182</v>
      </c>
      <c r="CU420" s="50">
        <v>-31482</v>
      </c>
      <c r="CV420" s="50">
        <v>-49649</v>
      </c>
    </row>
    <row r="421" spans="69:100" ht="19" customHeight="1" x14ac:dyDescent="0.35">
      <c r="BQ421" s="1" t="str">
        <f>_xlfn.CONCAT($BV$371," | ",BV421)</f>
        <v>CEMIG GT | Imposto de renda e contribuição social diferidos</v>
      </c>
      <c r="BV421" s="36" t="s">
        <v>16</v>
      </c>
      <c r="BW421" s="50">
        <v>45176</v>
      </c>
      <c r="BX421" s="50">
        <v>11277</v>
      </c>
      <c r="BY421" s="50">
        <v>-106702</v>
      </c>
      <c r="BZ421" s="50">
        <v>14077</v>
      </c>
      <c r="CA421" s="50">
        <v>89773</v>
      </c>
      <c r="CB421" s="50">
        <v>19611</v>
      </c>
      <c r="CC421" s="50">
        <v>179310</v>
      </c>
      <c r="CD421" s="50">
        <v>-452326</v>
      </c>
      <c r="CE421" s="50">
        <v>-21867</v>
      </c>
      <c r="CF421" s="50">
        <v>-61743</v>
      </c>
      <c r="CG421" s="50">
        <v>-47864</v>
      </c>
      <c r="CH421" s="50">
        <v>-42017</v>
      </c>
      <c r="CI421" s="50">
        <v>-95919</v>
      </c>
      <c r="CJ421" s="50">
        <v>-4884</v>
      </c>
      <c r="CK421" s="50">
        <v>-74425</v>
      </c>
      <c r="CL421" s="50">
        <v>29117</v>
      </c>
      <c r="CM421" s="50">
        <v>103466</v>
      </c>
      <c r="CN421" s="50">
        <v>23233</v>
      </c>
      <c r="CO421" s="50">
        <v>19260</v>
      </c>
      <c r="CP421" s="50">
        <v>50544</v>
      </c>
      <c r="CQ421" s="50">
        <v>-201605</v>
      </c>
      <c r="CR421" s="50">
        <v>245610</v>
      </c>
      <c r="CS421" s="50">
        <v>-210816</v>
      </c>
      <c r="CT421" s="50">
        <v>41372</v>
      </c>
      <c r="CU421" s="50">
        <v>-175354</v>
      </c>
      <c r="CV421" s="50">
        <v>88350</v>
      </c>
    </row>
    <row r="422" spans="69:100" ht="25" customHeight="1" x14ac:dyDescent="0.35">
      <c r="BV422" s="42" t="s">
        <v>17</v>
      </c>
      <c r="BW422" s="53">
        <f>IFERROR(SUM(BW418:BW419),0)</f>
        <v>269590</v>
      </c>
      <c r="BX422" s="53">
        <f>IFERROR(SUM(BX418:BX419),0)</f>
        <v>392720</v>
      </c>
      <c r="BY422" s="53">
        <f>IFERROR(SUM(BY418:BY419),0)</f>
        <v>547364</v>
      </c>
      <c r="BZ422" s="53">
        <f t="shared" ref="BZ422:CV422" si="68">IFERROR(SUM(BZ418:BZ419),0)</f>
        <v>386500</v>
      </c>
      <c r="CA422" s="53">
        <f t="shared" si="68"/>
        <v>342120</v>
      </c>
      <c r="CB422" s="53">
        <f t="shared" si="68"/>
        <v>541278</v>
      </c>
      <c r="CC422" s="53">
        <f t="shared" si="68"/>
        <v>237233</v>
      </c>
      <c r="CD422" s="53">
        <f t="shared" si="68"/>
        <v>2633351</v>
      </c>
      <c r="CE422" s="53">
        <f t="shared" si="68"/>
        <v>327923</v>
      </c>
      <c r="CF422" s="53">
        <f t="shared" si="68"/>
        <v>493806</v>
      </c>
      <c r="CG422" s="53">
        <f t="shared" si="68"/>
        <v>843663</v>
      </c>
      <c r="CH422" s="53">
        <f t="shared" si="68"/>
        <v>490014</v>
      </c>
      <c r="CI422" s="53">
        <f t="shared" si="68"/>
        <v>459486</v>
      </c>
      <c r="CJ422" s="53">
        <f t="shared" si="68"/>
        <v>609503</v>
      </c>
      <c r="CK422" s="53">
        <f t="shared" si="68"/>
        <v>430810</v>
      </c>
      <c r="CL422" s="53">
        <f t="shared" si="68"/>
        <v>251242</v>
      </c>
      <c r="CM422" s="53">
        <f t="shared" si="68"/>
        <v>589890</v>
      </c>
      <c r="CN422" s="53">
        <f t="shared" si="68"/>
        <v>813514</v>
      </c>
      <c r="CO422" s="53">
        <f t="shared" si="68"/>
        <v>-50863</v>
      </c>
      <c r="CP422" s="53">
        <f t="shared" si="68"/>
        <v>-210659</v>
      </c>
      <c r="CQ422" s="53">
        <f t="shared" si="68"/>
        <v>1444329</v>
      </c>
      <c r="CR422" s="53">
        <f t="shared" si="68"/>
        <v>-311373</v>
      </c>
      <c r="CS422" s="53">
        <f t="shared" si="68"/>
        <v>627264</v>
      </c>
      <c r="CT422" s="53">
        <f t="shared" si="68"/>
        <v>36928</v>
      </c>
      <c r="CU422" s="53">
        <f t="shared" si="68"/>
        <v>406667</v>
      </c>
      <c r="CV422" s="53">
        <f t="shared" si="68"/>
        <v>-15324</v>
      </c>
    </row>
    <row r="423" spans="69:100" ht="25" customHeight="1" thickBot="1" x14ac:dyDescent="0.4">
      <c r="BQ423" s="1" t="str">
        <f>_xlfn.CONCAT($BV$371," | ",BV423)</f>
        <v>CEMIG GT | LUCRO BÁSICO E DILUÍDO POR AÇÃO</v>
      </c>
      <c r="BV423" s="331" t="s">
        <v>116</v>
      </c>
      <c r="BW423" s="371">
        <v>0.09</v>
      </c>
      <c r="BX423" s="371">
        <v>0.14000000000000001</v>
      </c>
      <c r="BY423" s="371">
        <v>0.19</v>
      </c>
      <c r="BZ423" s="371">
        <v>0.13</v>
      </c>
      <c r="CA423" s="371">
        <v>0.12</v>
      </c>
      <c r="CB423" s="371">
        <v>0.19</v>
      </c>
      <c r="CC423" s="371">
        <v>8.0000000000000071E-2</v>
      </c>
      <c r="CD423" s="371">
        <v>0.91</v>
      </c>
      <c r="CE423" s="371">
        <v>0.11</v>
      </c>
      <c r="CF423" s="371">
        <v>0.17</v>
      </c>
      <c r="CG423" s="371">
        <v>0.28999999999999992</v>
      </c>
      <c r="CH423" s="371">
        <v>0.17</v>
      </c>
      <c r="CI423" s="371">
        <v>0.16</v>
      </c>
      <c r="CJ423" s="371">
        <v>0.21</v>
      </c>
      <c r="CK423" s="371">
        <v>0.14999999999999991</v>
      </c>
      <c r="CL423" s="371">
        <v>0.09</v>
      </c>
      <c r="CM423" s="371">
        <v>0.2</v>
      </c>
      <c r="CN423" s="371">
        <v>0.28000000000000003</v>
      </c>
      <c r="CO423" s="371">
        <v>-2.0000000000000018E-2</v>
      </c>
      <c r="CP423" s="371">
        <v>-7.0000000000000007E-2</v>
      </c>
      <c r="CQ423" s="371">
        <v>0.5</v>
      </c>
      <c r="CR423" s="371">
        <v>-0.11</v>
      </c>
      <c r="CS423" s="371">
        <v>0.21999999999999997</v>
      </c>
      <c r="CT423" s="371">
        <v>0.01</v>
      </c>
      <c r="CU423" s="371">
        <v>0.14000000000000001</v>
      </c>
      <c r="CV423" s="371">
        <v>-0.01</v>
      </c>
    </row>
    <row r="440" spans="77:78" ht="19" customHeight="1" x14ac:dyDescent="0.35">
      <c r="BY440" s="388"/>
      <c r="BZ440" s="388"/>
    </row>
    <row r="2013" spans="2:5" ht="45" customHeight="1" x14ac:dyDescent="0.35">
      <c r="B2013" s="478" t="s">
        <v>0</v>
      </c>
      <c r="C2013" s="478"/>
      <c r="D2013" s="478"/>
      <c r="E2013" s="478"/>
    </row>
    <row r="2014" spans="2:5" ht="10" customHeight="1" x14ac:dyDescent="0.35">
      <c r="B2014" s="111"/>
      <c r="C2014" s="111"/>
      <c r="D2014" s="111"/>
      <c r="E2014" s="115"/>
    </row>
    <row r="2015" spans="2:5" ht="40" customHeight="1" x14ac:dyDescent="0.35">
      <c r="B2015" s="112" t="s">
        <v>98</v>
      </c>
      <c r="C2015" s="112"/>
      <c r="D2015" s="112"/>
      <c r="E2015" s="133" t="s">
        <v>26</v>
      </c>
    </row>
    <row r="2016" spans="2:5" ht="15" customHeight="1" x14ac:dyDescent="0.35">
      <c r="E2016" s="40" t="s">
        <v>3</v>
      </c>
    </row>
    <row r="2017" spans="2:5" ht="35.15" customHeight="1" x14ac:dyDescent="0.35">
      <c r="B2017" s="340" t="s">
        <v>4</v>
      </c>
      <c r="C2017" s="164" t="str">
        <f>IFERROR($E$2015,0)</f>
        <v>2T | 2026</v>
      </c>
      <c r="D2017" s="164" t="str">
        <f xml:space="preserve">
IFERROR(
_xlfn.CONCAT(
MID($E$2015,1,2),
" | ",
MID($E$2015,6,4)-1
),0)</f>
        <v>2T | 2025</v>
      </c>
      <c r="E2017" s="164" t="s">
        <v>5</v>
      </c>
    </row>
    <row r="2018" spans="2:5" ht="25" customHeight="1" x14ac:dyDescent="0.35">
      <c r="B2018" s="42" t="s">
        <v>6</v>
      </c>
      <c r="C2018" s="46">
        <f t="shared" ref="C2018:D2018" si="69">IFERROR(SUM(C2019:C2028),0)</f>
        <v>7715790</v>
      </c>
      <c r="D2018" s="46">
        <f t="shared" si="69"/>
        <v>7269939</v>
      </c>
      <c r="E2018" s="70">
        <f>IFERROR(((C2018/D2018)-1)*100,0)</f>
        <v>6.1328024898145594</v>
      </c>
    </row>
    <row r="2019" spans="2:5" ht="19" customHeight="1" outlineLevel="1" x14ac:dyDescent="0.35">
      <c r="B2019" s="35" t="str">
        <f t="shared" ref="B2019:B2028" si="70">BV330</f>
        <v>Fornecimento bruto de energia elétrica e receita de uso da rede - consumidores cativos</v>
      </c>
      <c r="C2019" s="30">
        <f xml:space="preserve">
IFERROR(
INDEX($BV$257:$ED$508,
MATCH(
_xlfn.CONCAT($B$2015," | ",B2019),$BQ$257:$BQ$508,0),
MATCH($C$2017,$BV$256:$ED$256,0)),
0)</f>
        <v>6403861</v>
      </c>
      <c r="D2019" s="32">
        <f xml:space="preserve">
IFERROR(
INDEX($BV$257:$ED$508,
MATCH(
_xlfn.CONCAT($B$2015," | ",B2019),$BQ$257:$BQ$508,0),
MATCH($D$2017,$BV$256:$ED$256,0)),
0)</f>
        <v>6090187</v>
      </c>
      <c r="E2019" s="71">
        <f>IFERROR(((C2019/D2019)-1)*100,0)</f>
        <v>5.1504822429918828</v>
      </c>
    </row>
    <row r="2020" spans="2:5" ht="19" customHeight="1" outlineLevel="1" x14ac:dyDescent="0.35">
      <c r="B2020" s="35" t="str">
        <f t="shared" si="70"/>
        <v>Restituição de créditos de PIS/Pasep e Cofins aos consumidores - Realização</v>
      </c>
      <c r="C2020" s="30">
        <f t="shared" ref="C2020:C2045" si="71" xml:space="preserve">
IFERROR(
INDEX($BV$257:$ED$508,
MATCH(
_xlfn.CONCAT($B$2015," | ",B2020),$BQ$257:$BQ$508,0),
MATCH($C$2017,$BV$256:$ED$256,0)),
0)</f>
        <v>0</v>
      </c>
      <c r="D2020" s="32">
        <f t="shared" ref="D2020:D2028" si="72" xml:space="preserve">
IFERROR(
INDEX($BV$257:$ED$508,
MATCH(
_xlfn.CONCAT($B$2015," | ",B2020),$BQ$257:$BQ$508,0),
MATCH($D$2017,$BV$256:$ED$256,0)),
0)</f>
        <v>0</v>
      </c>
      <c r="E2020" s="71">
        <f t="shared" ref="E2020:E2055" si="73">IFERROR(((C2020/D2020)-1)*100,0)</f>
        <v>0</v>
      </c>
    </row>
    <row r="2021" spans="2:5" ht="19" customHeight="1" outlineLevel="1" x14ac:dyDescent="0.35">
      <c r="B2021" s="35" t="str">
        <f t="shared" si="70"/>
        <v>Receita de uso da rede - consumidores livres</v>
      </c>
      <c r="C2021" s="30">
        <f t="shared" si="71"/>
        <v>1663919</v>
      </c>
      <c r="D2021" s="32">
        <f t="shared" si="72"/>
        <v>1424464</v>
      </c>
      <c r="E2021" s="71">
        <f t="shared" si="73"/>
        <v>16.810182637118242</v>
      </c>
    </row>
    <row r="2022" spans="2:5" ht="19" customHeight="1" outlineLevel="1" x14ac:dyDescent="0.35">
      <c r="B2022" s="35" t="str">
        <f t="shared" si="70"/>
        <v>Ativos e passivos financeiros setoriais líquidos</v>
      </c>
      <c r="C2022" s="30">
        <f t="shared" si="71"/>
        <v>213753</v>
      </c>
      <c r="D2022" s="32">
        <f t="shared" si="72"/>
        <v>70394</v>
      </c>
      <c r="E2022" s="71">
        <f t="shared" si="73"/>
        <v>203.6522999119243</v>
      </c>
    </row>
    <row r="2023" spans="2:5" ht="19" customHeight="1" outlineLevel="1" x14ac:dyDescent="0.35">
      <c r="B2023" s="35" t="str">
        <f t="shared" si="70"/>
        <v>Receita de construção de infraestrutura de distribuição</v>
      </c>
      <c r="C2023" s="30">
        <f t="shared" si="71"/>
        <v>1534101</v>
      </c>
      <c r="D2023" s="32">
        <f t="shared" si="72"/>
        <v>1231705</v>
      </c>
      <c r="E2023" s="71">
        <f t="shared" si="73"/>
        <v>24.551008561303235</v>
      </c>
    </row>
    <row r="2024" spans="2:5" ht="19" customHeight="1" outlineLevel="1" x14ac:dyDescent="0.35">
      <c r="B2024" s="35" t="str">
        <f t="shared" si="70"/>
        <v>Ajuste de expectativa do fluxo de caixa do ativo financeiro indenizável da concessão</v>
      </c>
      <c r="C2024" s="30">
        <f t="shared" si="71"/>
        <v>79686</v>
      </c>
      <c r="D2024" s="32">
        <f t="shared" si="72"/>
        <v>26618</v>
      </c>
      <c r="E2024" s="71">
        <f t="shared" si="73"/>
        <v>199.36884814786987</v>
      </c>
    </row>
    <row r="2025" spans="2:5" ht="19" customHeight="1" outlineLevel="1" x14ac:dyDescent="0.35">
      <c r="B2025" s="35" t="str">
        <f t="shared" si="70"/>
        <v>Compensação por violação de padrão indicador de continuidade</v>
      </c>
      <c r="C2025" s="30">
        <f t="shared" si="71"/>
        <v>-39695</v>
      </c>
      <c r="D2025" s="32">
        <f t="shared" si="72"/>
        <v>-39949</v>
      </c>
      <c r="E2025" s="71">
        <f t="shared" si="73"/>
        <v>-0.63581065858969721</v>
      </c>
    </row>
    <row r="2026" spans="2:5" ht="19" customHeight="1" outlineLevel="1" x14ac:dyDescent="0.35">
      <c r="B2026" s="35" t="str">
        <f t="shared" si="70"/>
        <v>Transações no Mecanismo de Venda de Excedentes</v>
      </c>
      <c r="C2026" s="30">
        <f t="shared" si="71"/>
        <v>0</v>
      </c>
      <c r="D2026" s="32">
        <f t="shared" si="72"/>
        <v>0</v>
      </c>
      <c r="E2026" s="71">
        <f t="shared" si="73"/>
        <v>0</v>
      </c>
    </row>
    <row r="2027" spans="2:5" ht="19" customHeight="1" outlineLevel="1" x14ac:dyDescent="0.35">
      <c r="B2027" s="35" t="str">
        <f t="shared" si="70"/>
        <v>Outras receitas operacionais</v>
      </c>
      <c r="C2027" s="30">
        <f t="shared" si="71"/>
        <v>961091</v>
      </c>
      <c r="D2027" s="32">
        <f t="shared" si="72"/>
        <v>1228948</v>
      </c>
      <c r="E2027" s="71">
        <f t="shared" si="73"/>
        <v>-21.795633338432541</v>
      </c>
    </row>
    <row r="2028" spans="2:5" ht="19" customHeight="1" outlineLevel="1" x14ac:dyDescent="0.35">
      <c r="B2028" s="35" t="str">
        <f t="shared" si="70"/>
        <v>Tributos e encargos incidentes sobre as receitas</v>
      </c>
      <c r="C2028" s="30">
        <f t="shared" si="71"/>
        <v>-3100926</v>
      </c>
      <c r="D2028" s="32">
        <f t="shared" si="72"/>
        <v>-2762428</v>
      </c>
      <c r="E2028" s="71">
        <f t="shared" si="73"/>
        <v>12.253640637873641</v>
      </c>
    </row>
    <row r="2029" spans="2:5" ht="25" customHeight="1" x14ac:dyDescent="0.35">
      <c r="B2029" s="4" t="s">
        <v>7</v>
      </c>
      <c r="C2029" s="66">
        <f>SUM(C2030:C2043)</f>
        <v>-6520835</v>
      </c>
      <c r="D2029" s="31">
        <f>SUM(D2030:D2043)</f>
        <v>-6283352</v>
      </c>
      <c r="E2029" s="73">
        <f t="shared" si="73"/>
        <v>3.7795590633789011</v>
      </c>
    </row>
    <row r="2030" spans="2:5" ht="19" customHeight="1" outlineLevel="1" x14ac:dyDescent="0.35">
      <c r="B2030" s="36" t="str">
        <f t="shared" ref="B2030:B2055" si="74">BV341</f>
        <v>Energia elétrica comprada para revenda</v>
      </c>
      <c r="C2030" s="30">
        <f t="shared" si="71"/>
        <v>-2935710</v>
      </c>
      <c r="D2030" s="32">
        <f t="shared" ref="D2030" si="75" xml:space="preserve">
IFERROR(
INDEX($BV$257:$ED$508,
MATCH(
_xlfn.CONCAT($B$2015," | ",B2030),$BQ$257:$BQ$508,0),
MATCH($D$2017,$BV$256:$ED$256,0)),
0)</f>
        <v>-2917439</v>
      </c>
      <c r="E2030" s="71">
        <f t="shared" si="73"/>
        <v>0.62626844982878183</v>
      </c>
    </row>
    <row r="2031" spans="2:5" ht="19" customHeight="1" outlineLevel="1" x14ac:dyDescent="0.35">
      <c r="B2031" s="36" t="str">
        <f t="shared" si="74"/>
        <v>Encargos de uso da rede básica de transmissão e demais encargos do sistema</v>
      </c>
      <c r="C2031" s="30">
        <f t="shared" si="71"/>
        <v>-863579</v>
      </c>
      <c r="D2031" s="32">
        <f t="shared" ref="D2031:D2043" si="76" xml:space="preserve">
IFERROR(
INDEX($BV$257:$ED$508,
MATCH(
_xlfn.CONCAT($B$2015," | ",B2031),$BQ$257:$BQ$508,0),
MATCH($D$2017,$BV$256:$ED$256,0)),
0)</f>
        <v>-854949</v>
      </c>
      <c r="E2031" s="71">
        <f t="shared" si="73"/>
        <v>1.0094169359809779</v>
      </c>
    </row>
    <row r="2032" spans="2:5" ht="19" customHeight="1" outlineLevel="1" x14ac:dyDescent="0.35">
      <c r="B2032" s="36" t="str">
        <f t="shared" si="74"/>
        <v>Custo de construção da infraestrutura de distribuição</v>
      </c>
      <c r="C2032" s="30">
        <f t="shared" si="71"/>
        <v>-1534101</v>
      </c>
      <c r="D2032" s="32">
        <f t="shared" si="76"/>
        <v>-1231705</v>
      </c>
      <c r="E2032" s="71">
        <f t="shared" si="73"/>
        <v>24.551008561303235</v>
      </c>
    </row>
    <row r="2033" spans="2:5" ht="19" customHeight="1" outlineLevel="1" x14ac:dyDescent="0.35">
      <c r="B2033" s="36" t="str">
        <f t="shared" si="74"/>
        <v>Pessoal</v>
      </c>
      <c r="C2033" s="30">
        <f t="shared" si="71"/>
        <v>-286082</v>
      </c>
      <c r="D2033" s="32">
        <f t="shared" si="76"/>
        <v>-264523</v>
      </c>
      <c r="E2033" s="71">
        <f t="shared" si="73"/>
        <v>8.1501419536297313</v>
      </c>
    </row>
    <row r="2034" spans="2:5" ht="19" customHeight="1" outlineLevel="1" x14ac:dyDescent="0.35">
      <c r="B2034" s="36" t="str">
        <f t="shared" si="74"/>
        <v>Participação de empregados e administradores no resultado</v>
      </c>
      <c r="C2034" s="30">
        <f t="shared" si="71"/>
        <v>-27394</v>
      </c>
      <c r="D2034" s="32">
        <f t="shared" si="76"/>
        <v>-26214</v>
      </c>
      <c r="E2034" s="71">
        <f t="shared" si="73"/>
        <v>4.5014114595254506</v>
      </c>
    </row>
    <row r="2035" spans="2:5" ht="19" customHeight="1" outlineLevel="1" x14ac:dyDescent="0.35">
      <c r="B2035" s="36" t="str">
        <f t="shared" si="74"/>
        <v>Obrigações pós-emprego</v>
      </c>
      <c r="C2035" s="30">
        <f t="shared" si="71"/>
        <v>-28897</v>
      </c>
      <c r="D2035" s="32">
        <f t="shared" si="76"/>
        <v>-70954</v>
      </c>
      <c r="E2035" s="71">
        <f t="shared" si="73"/>
        <v>-59.273613890689745</v>
      </c>
    </row>
    <row r="2036" spans="2:5" ht="19" customHeight="1" outlineLevel="1" x14ac:dyDescent="0.35">
      <c r="B2036" s="36" t="str">
        <f t="shared" si="74"/>
        <v>Materiais</v>
      </c>
      <c r="C2036" s="30">
        <f t="shared" si="71"/>
        <v>-14805</v>
      </c>
      <c r="D2036" s="32">
        <f t="shared" si="76"/>
        <v>-16663</v>
      </c>
      <c r="E2036" s="71">
        <f t="shared" si="73"/>
        <v>-11.150453099681934</v>
      </c>
    </row>
    <row r="2037" spans="2:5" ht="19" customHeight="1" outlineLevel="1" x14ac:dyDescent="0.35">
      <c r="B2037" s="36" t="str">
        <f t="shared" si="74"/>
        <v>Serviços de terceiros</v>
      </c>
      <c r="C2037" s="30">
        <f t="shared" si="71"/>
        <v>-541704</v>
      </c>
      <c r="D2037" s="32">
        <f t="shared" si="76"/>
        <v>-433342</v>
      </c>
      <c r="E2037" s="71">
        <f t="shared" si="73"/>
        <v>25.006115262310136</v>
      </c>
    </row>
    <row r="2038" spans="2:5" ht="19" customHeight="1" outlineLevel="1" x14ac:dyDescent="0.35">
      <c r="B2038" s="36" t="str">
        <f t="shared" si="74"/>
        <v>Amortização</v>
      </c>
      <c r="C2038" s="30">
        <f t="shared" si="71"/>
        <v>-268765</v>
      </c>
      <c r="D2038" s="32">
        <f t="shared" si="76"/>
        <v>-242108</v>
      </c>
      <c r="E2038" s="71">
        <f t="shared" si="73"/>
        <v>11.010375534885263</v>
      </c>
    </row>
    <row r="2039" spans="2:5" ht="19" customHeight="1" outlineLevel="1" x14ac:dyDescent="0.35">
      <c r="B2039" s="36" t="str">
        <f t="shared" si="74"/>
        <v>Amortização direito de uso - arrendamento</v>
      </c>
      <c r="C2039" s="30">
        <f t="shared" si="71"/>
        <v>-13030</v>
      </c>
      <c r="D2039" s="32">
        <f t="shared" si="76"/>
        <v>-12265</v>
      </c>
      <c r="E2039" s="71">
        <f t="shared" si="73"/>
        <v>6.2372604973501833</v>
      </c>
    </row>
    <row r="2040" spans="2:5" ht="19" customHeight="1" outlineLevel="1" x14ac:dyDescent="0.35">
      <c r="B2040" s="36" t="str">
        <f t="shared" si="74"/>
        <v>Provisões para contingências</v>
      </c>
      <c r="C2040" s="30">
        <f t="shared" si="71"/>
        <v>-22434</v>
      </c>
      <c r="D2040" s="32">
        <f t="shared" si="76"/>
        <v>-55153</v>
      </c>
      <c r="E2040" s="71">
        <f t="shared" si="73"/>
        <v>-59.324062154370573</v>
      </c>
    </row>
    <row r="2041" spans="2:5" ht="19" customHeight="1" outlineLevel="1" x14ac:dyDescent="0.35">
      <c r="B2041" s="36" t="str">
        <f t="shared" si="74"/>
        <v>Perdas de créditos esperadas</v>
      </c>
      <c r="C2041" s="30">
        <f t="shared" si="71"/>
        <v>175156</v>
      </c>
      <c r="D2041" s="32">
        <f t="shared" si="76"/>
        <v>-2184</v>
      </c>
      <c r="E2041" s="71">
        <f t="shared" si="73"/>
        <v>-8119.9633699633696</v>
      </c>
    </row>
    <row r="2042" spans="2:5" ht="19" customHeight="1" outlineLevel="1" x14ac:dyDescent="0.35">
      <c r="B2042" s="36" t="str">
        <f t="shared" si="74"/>
        <v>Perda esperada com outros créditos</v>
      </c>
      <c r="C2042" s="30">
        <f t="shared" si="71"/>
        <v>-45855</v>
      </c>
      <c r="D2042" s="32">
        <f t="shared" si="76"/>
        <v>-30126</v>
      </c>
      <c r="E2042" s="71">
        <f t="shared" si="73"/>
        <v>52.210714997012552</v>
      </c>
    </row>
    <row r="2043" spans="2:5" ht="19" customHeight="1" outlineLevel="1" x14ac:dyDescent="0.35">
      <c r="B2043" s="36" t="str">
        <f t="shared" si="74"/>
        <v>Outras despesas</v>
      </c>
      <c r="C2043" s="30">
        <f t="shared" si="71"/>
        <v>-113635</v>
      </c>
      <c r="D2043" s="32">
        <f t="shared" si="76"/>
        <v>-125727</v>
      </c>
      <c r="E2043" s="71">
        <f t="shared" si="73"/>
        <v>-9.6176636681062906</v>
      </c>
    </row>
    <row r="2044" spans="2:5" ht="19" customHeight="1" outlineLevel="1" x14ac:dyDescent="0.35">
      <c r="B2044" s="7" t="str">
        <f t="shared" si="74"/>
        <v>Outras receitas</v>
      </c>
      <c r="C2044" s="51">
        <f>IFERROR(SUM(C2045),0)</f>
        <v>0</v>
      </c>
      <c r="D2044" s="51">
        <f>IFERROR(SUM(D2045),0)</f>
        <v>0</v>
      </c>
      <c r="E2044" s="71">
        <f t="shared" si="73"/>
        <v>0</v>
      </c>
    </row>
    <row r="2045" spans="2:5" ht="19" customHeight="1" outlineLevel="1" x14ac:dyDescent="0.35">
      <c r="B2045" s="6" t="str">
        <f t="shared" si="74"/>
        <v>Ganho na alienação de intangíveis</v>
      </c>
      <c r="C2045" s="30">
        <f t="shared" si="71"/>
        <v>0</v>
      </c>
      <c r="D2045" s="32">
        <f t="shared" ref="D2045" si="77" xml:space="preserve">
IFERROR(
INDEX($BV$257:$ED$508,
MATCH(
_xlfn.CONCAT($B$2015," | ",B2045),$BQ$257:$BQ$508,0),
MATCH($D$2017,$BV$256:$ED$256,0)),
0)</f>
        <v>0</v>
      </c>
      <c r="E2045" s="71">
        <f t="shared" si="73"/>
        <v>0</v>
      </c>
    </row>
    <row r="2046" spans="2:5" ht="25" customHeight="1" x14ac:dyDescent="0.35">
      <c r="B2046" s="42" t="str">
        <f t="shared" si="74"/>
        <v>LUCRO ANTES DO RESULTADO FINANCEIRO E TRIBUTOS</v>
      </c>
      <c r="C2046" s="52">
        <f>IFERROR(SUM(C2018,C2029),0)</f>
        <v>1194955</v>
      </c>
      <c r="D2046" s="52">
        <f t="shared" ref="D2046" si="78">IFERROR(SUM(D2018,D2029),0)</f>
        <v>986587</v>
      </c>
      <c r="E2046" s="73">
        <f t="shared" si="73"/>
        <v>21.120083682432455</v>
      </c>
    </row>
    <row r="2047" spans="2:5" ht="25" customHeight="1" x14ac:dyDescent="0.35">
      <c r="B2047" s="42" t="str">
        <f t="shared" si="74"/>
        <v>RESULTADO FINANCEIRO</v>
      </c>
      <c r="C2047" s="52">
        <f>IFERROR(SUM(C2048:C2049),0)</f>
        <v>-608194</v>
      </c>
      <c r="D2047" s="52">
        <f>IFERROR(SUM(D2048:D2049),0)</f>
        <v>-288643</v>
      </c>
      <c r="E2047" s="73">
        <f t="shared" si="73"/>
        <v>110.70803726402509</v>
      </c>
    </row>
    <row r="2048" spans="2:5" ht="19" customHeight="1" x14ac:dyDescent="0.35">
      <c r="B2048" s="36" t="str">
        <f t="shared" si="74"/>
        <v>Receitas financeiras</v>
      </c>
      <c r="C2048" s="30">
        <f t="shared" ref="C2048:C2049" si="79" xml:space="preserve">
IFERROR(
INDEX($BV$257:$ED$508,
MATCH(
_xlfn.CONCAT($B$2015," | ",B2048),$BQ$257:$BQ$508,0),
MATCH($C$2017,$BV$256:$ED$256,0)),
0)</f>
        <v>253892</v>
      </c>
      <c r="D2048" s="32">
        <f t="shared" ref="D2048:D2049" si="80" xml:space="preserve">
IFERROR(
INDEX($BV$257:$ED$508,
MATCH(
_xlfn.CONCAT($B$2015," | ",B2048),$BQ$257:$BQ$508,0),
MATCH($D$2017,$BV$256:$ED$256,0)),
0)</f>
        <v>232834</v>
      </c>
      <c r="E2048" s="71">
        <f t="shared" si="73"/>
        <v>9.0442117560150201</v>
      </c>
    </row>
    <row r="2049" spans="2:5" ht="19" customHeight="1" x14ac:dyDescent="0.35">
      <c r="B2049" s="36" t="str">
        <f t="shared" si="74"/>
        <v>Despesas financeiras</v>
      </c>
      <c r="C2049" s="30">
        <f t="shared" si="79"/>
        <v>-862086</v>
      </c>
      <c r="D2049" s="32">
        <f t="shared" si="80"/>
        <v>-521477</v>
      </c>
      <c r="E2049" s="71">
        <f t="shared" si="73"/>
        <v>65.316207617977412</v>
      </c>
    </row>
    <row r="2050" spans="2:5" ht="25" customHeight="1" x14ac:dyDescent="0.35">
      <c r="B2050" s="42" t="str">
        <f t="shared" si="74"/>
        <v xml:space="preserve">LUCROS ANTES DO IMPOSTO DE RENDA E CONTRIBUIÇÃO SOCIAL </v>
      </c>
      <c r="C2050" s="52">
        <f>IFERROR(SUM(C2046:C2047),0)</f>
        <v>586761</v>
      </c>
      <c r="D2050" s="52">
        <f t="shared" ref="D2050" si="81">IFERROR(SUM(D2046:D2047),0)</f>
        <v>697944</v>
      </c>
      <c r="E2050" s="73">
        <f t="shared" si="73"/>
        <v>-15.930074619167156</v>
      </c>
    </row>
    <row r="2051" spans="2:5" ht="25" customHeight="1" x14ac:dyDescent="0.35">
      <c r="B2051" s="18" t="str">
        <f t="shared" si="74"/>
        <v>IMPOSTO DE RENDA E CONTRIBUIÇÃO SOCIAL.</v>
      </c>
      <c r="C2051" s="52">
        <f>IFERROR(SUM(C2052:C2053),0)</f>
        <v>-103627</v>
      </c>
      <c r="D2051" s="52">
        <f>IFERROR(SUM(D2052:D2053),0)</f>
        <v>-147390</v>
      </c>
      <c r="E2051" s="73">
        <f t="shared" si="73"/>
        <v>-29.691973675283268</v>
      </c>
    </row>
    <row r="2052" spans="2:5" ht="19" customHeight="1" x14ac:dyDescent="0.35">
      <c r="B2052" s="36" t="str">
        <f t="shared" si="74"/>
        <v>Imposto de renda e contribuição social</v>
      </c>
      <c r="C2052" s="30">
        <f t="shared" ref="C2052:C2053" si="82" xml:space="preserve">
IFERROR(
INDEX($BV$257:$ED$508,
MATCH(
_xlfn.CONCAT($B$2015," | ",B2052),$BQ$257:$BQ$508,0),
MATCH($C$2017,$BV$256:$ED$256,0)),
0)</f>
        <v>3626</v>
      </c>
      <c r="D2052" s="32">
        <f t="shared" ref="D2052:D2053" si="83" xml:space="preserve">
IFERROR(
INDEX($BV$257:$ED$508,
MATCH(
_xlfn.CONCAT($B$2015," | ",B2052),$BQ$257:$BQ$508,0),
MATCH($D$2017,$BV$256:$ED$256,0)),
0)</f>
        <v>-103051</v>
      </c>
      <c r="E2052" s="71">
        <f t="shared" si="73"/>
        <v>-103.51864610726726</v>
      </c>
    </row>
    <row r="2053" spans="2:5" ht="19" customHeight="1" x14ac:dyDescent="0.35">
      <c r="B2053" s="36" t="str">
        <f t="shared" si="74"/>
        <v>Imposto de renda e contribuição social diferidos</v>
      </c>
      <c r="C2053" s="30">
        <f t="shared" si="82"/>
        <v>-107253</v>
      </c>
      <c r="D2053" s="32">
        <f t="shared" si="83"/>
        <v>-44339</v>
      </c>
      <c r="E2053" s="71">
        <f t="shared" si="73"/>
        <v>141.89314147815693</v>
      </c>
    </row>
    <row r="2054" spans="2:5" ht="25" customHeight="1" x14ac:dyDescent="0.35">
      <c r="B2054" s="42" t="str">
        <f t="shared" si="74"/>
        <v>LUCRO LÍQUIDO</v>
      </c>
      <c r="C2054" s="53">
        <f>IFERROR(SUM(C2050:C2051),0)</f>
        <v>483134</v>
      </c>
      <c r="D2054" s="53">
        <f>IFERROR(SUM(D2050:D2051),0)</f>
        <v>550554</v>
      </c>
      <c r="E2054" s="73">
        <f t="shared" si="73"/>
        <v>-12.245846910566449</v>
      </c>
    </row>
    <row r="2055" spans="2:5" ht="25" customHeight="1" thickBot="1" x14ac:dyDescent="0.4">
      <c r="B2055" s="331" t="str">
        <f t="shared" si="74"/>
        <v>LUCRO BÁSICO E DILUÍDO POR AÇÃO</v>
      </c>
      <c r="C2055" s="335">
        <f xml:space="preserve">
IFERROR(
INDEX($BV$257:$ED$508,
MATCH(
_xlfn.CONCAT($B$2015," | ",B2055),$BQ$257:$BQ$508,0),
MATCH($C$2017,$BV$256:$ED$256,0)),
0)</f>
        <v>0.2</v>
      </c>
      <c r="D2055" s="336">
        <f xml:space="preserve">
IFERROR(
INDEX($BV$257:$ED$508,
MATCH(
_xlfn.CONCAT($B$2015," | ",B2055),$BQ$257:$BQ$508,0),
MATCH($D$2017,$BV$256:$ED$256,0)),
0)</f>
        <v>0.23</v>
      </c>
      <c r="E2055" s="339">
        <f t="shared" si="73"/>
        <v>-13.043478260869568</v>
      </c>
    </row>
    <row r="3015" spans="2:5" ht="45" customHeight="1" x14ac:dyDescent="0.35">
      <c r="B3015" s="478" t="s">
        <v>0</v>
      </c>
      <c r="C3015" s="478"/>
      <c r="D3015" s="478"/>
      <c r="E3015" s="478"/>
    </row>
    <row r="3016" spans="2:5" ht="10" customHeight="1" x14ac:dyDescent="0.35">
      <c r="B3016" s="111"/>
      <c r="C3016" s="111"/>
      <c r="D3016" s="111"/>
      <c r="E3016" s="115"/>
    </row>
    <row r="3017" spans="2:5" ht="40" customHeight="1" x14ac:dyDescent="0.35">
      <c r="B3017" s="112" t="s">
        <v>117</v>
      </c>
      <c r="C3017" s="112"/>
      <c r="D3017" s="112"/>
      <c r="E3017" s="133" t="s">
        <v>26</v>
      </c>
    </row>
    <row r="3018" spans="2:5" ht="15" customHeight="1" x14ac:dyDescent="0.35">
      <c r="E3018" s="40" t="s">
        <v>3</v>
      </c>
    </row>
    <row r="3019" spans="2:5" ht="35.15" customHeight="1" x14ac:dyDescent="0.35">
      <c r="B3019" s="340" t="s">
        <v>4</v>
      </c>
      <c r="C3019" s="164" t="str">
        <f>IFERROR($E$3017,0)</f>
        <v>2T | 2026</v>
      </c>
      <c r="D3019" s="164" t="str">
        <f xml:space="preserve">
IFERROR(
_xlfn.CONCAT(
MID($E$3017,1,2),
" | ",
MID($E$3017,6,4)-1
),0)</f>
        <v>2T | 2025</v>
      </c>
      <c r="E3019" s="164" t="s">
        <v>5</v>
      </c>
    </row>
    <row r="3020" spans="2:5" ht="25" customHeight="1" x14ac:dyDescent="0.35">
      <c r="B3020" s="42" t="s">
        <v>6</v>
      </c>
      <c r="C3020" s="46">
        <f>IFERROR(SUM(C3021,C3023:C3031),0)</f>
        <v>2216149</v>
      </c>
      <c r="D3020" s="46">
        <f>IFERROR(SUM(D3021,D3023:D3031),0)</f>
        <v>1752437</v>
      </c>
      <c r="E3020" s="70">
        <f>IFERROR(((C3020/D3020)-1)*100,0)</f>
        <v>26.460979767032988</v>
      </c>
    </row>
    <row r="3021" spans="2:5" ht="19" customHeight="1" outlineLevel="1" x14ac:dyDescent="0.35">
      <c r="B3021" s="35" t="str">
        <f>BV375</f>
        <v>Fornecimento bruto de energia elétrica - com impostos</v>
      </c>
      <c r="C3021" s="30">
        <f xml:space="preserve">
IFERROR(
INDEX($BV$257:$ED$508,
MATCH(
_xlfn.CONCAT($B$3017," | ",B3021),$BQ$257:$BQ$508,0),
MATCH($C$3019,$BV$256:$ED$256,0)),
0)</f>
        <v>1754647</v>
      </c>
      <c r="D3021" s="32">
        <f xml:space="preserve">
IFERROR(
INDEX($BV$257:$ED$508,
MATCH(
_xlfn.CONCAT($B$3017," | ",B3021),$BQ$257:$BQ$508,0),
MATCH($D$3019,$BV$256:$ED$256,0)),
0)</f>
        <v>1446826</v>
      </c>
      <c r="E3021" s="71">
        <f>IFERROR(((C3021/D3021)-1)*100,0)</f>
        <v>21.275606050762153</v>
      </c>
    </row>
    <row r="3022" spans="2:5" ht="19" customHeight="1" outlineLevel="1" x14ac:dyDescent="0.35">
      <c r="B3022" s="391" t="str">
        <f t="shared" ref="B3022:B3031" si="84">BV376</f>
        <v>Receita de transmissão</v>
      </c>
      <c r="C3022" s="77">
        <f>IFERROR(SUM(C3023:C3025),0)</f>
        <v>594413</v>
      </c>
      <c r="D3022" s="77">
        <f>IFERROR(SUM(D3023:D3025),0)</f>
        <v>462769</v>
      </c>
      <c r="E3022" s="71">
        <f t="shared" ref="E3022:E3069" si="85">IFERROR(((C3022/D3022)-1)*100,0)</f>
        <v>28.447022164406</v>
      </c>
    </row>
    <row r="3023" spans="2:5" ht="19" customHeight="1" outlineLevel="1" x14ac:dyDescent="0.35">
      <c r="B3023" s="5" t="str">
        <f t="shared" si="84"/>
        <v>Receita de operação e manutenção</v>
      </c>
      <c r="C3023" s="30">
        <f xml:space="preserve">
IFERROR(
INDEX($BV$257:$ED$508,
MATCH(
_xlfn.CONCAT($B$3017," | ",B3023),$BQ$257:$BQ$508,0),
MATCH($C$3019,$BV$256:$ED$256,0)),
0)</f>
        <v>144173</v>
      </c>
      <c r="D3023" s="32">
        <f xml:space="preserve">
IFERROR(
INDEX($BV$257:$ED$508,
MATCH(
_xlfn.CONCAT($B$3017," | ",B3023),$BQ$257:$BQ$508,0),
MATCH($D$3019,$BV$256:$ED$256,0)),
0)</f>
        <v>133773</v>
      </c>
      <c r="E3023" s="71">
        <f t="shared" si="85"/>
        <v>7.7743640345959264</v>
      </c>
    </row>
    <row r="3024" spans="2:5" ht="19" customHeight="1" outlineLevel="1" x14ac:dyDescent="0.35">
      <c r="B3024" s="5" t="str">
        <f>BV378</f>
        <v>Receita de construção</v>
      </c>
      <c r="C3024" s="30">
        <f t="shared" ref="C3024:C3057" si="86" xml:space="preserve">
IFERROR(
INDEX($BV$257:$ED$508,
MATCH(
_xlfn.CONCAT($B$3017," | ",B3024),$BQ$257:$BQ$508,0),
MATCH($C$3019,$BV$256:$ED$256,0)),
0)</f>
        <v>221279</v>
      </c>
      <c r="D3024" s="32">
        <f t="shared" ref="D3024:D3031" si="87" xml:space="preserve">
IFERROR(
INDEX($BV$257:$ED$508,
MATCH(
_xlfn.CONCAT($B$3017," | ",B3024),$BQ$257:$BQ$508,0),
MATCH($D$3019,$BV$256:$ED$256,0)),
0)</f>
        <v>179131</v>
      </c>
      <c r="E3024" s="71">
        <f t="shared" si="85"/>
        <v>23.529149058510246</v>
      </c>
    </row>
    <row r="3025" spans="2:5" ht="19" customHeight="1" outlineLevel="1" x14ac:dyDescent="0.35">
      <c r="B3025" s="5" t="str">
        <f t="shared" si="84"/>
        <v>Remuneração financeira do ativo de contrato da transmissão</v>
      </c>
      <c r="C3025" s="30">
        <f t="shared" si="86"/>
        <v>228961</v>
      </c>
      <c r="D3025" s="32">
        <f t="shared" si="87"/>
        <v>149865</v>
      </c>
      <c r="E3025" s="71">
        <f t="shared" si="85"/>
        <v>52.778167016981946</v>
      </c>
    </row>
    <row r="3026" spans="2:5" ht="19" customHeight="1" outlineLevel="1" x14ac:dyDescent="0.35">
      <c r="B3026" s="35" t="str">
        <f t="shared" si="84"/>
        <v>Receita de atualização da bonificação pela outorga</v>
      </c>
      <c r="C3026" s="30">
        <f t="shared" si="86"/>
        <v>147979</v>
      </c>
      <c r="D3026" s="32">
        <f t="shared" si="87"/>
        <v>118859</v>
      </c>
      <c r="E3026" s="71">
        <f t="shared" si="85"/>
        <v>24.499617193481349</v>
      </c>
    </row>
    <row r="3027" spans="2:5" ht="19" customHeight="1" outlineLevel="1" x14ac:dyDescent="0.35">
      <c r="B3027" s="35" t="str">
        <f t="shared" si="84"/>
        <v>Liquidação na CCEE</v>
      </c>
      <c r="C3027" s="30">
        <f t="shared" si="86"/>
        <v>14754</v>
      </c>
      <c r="D3027" s="32">
        <f t="shared" si="87"/>
        <v>1673</v>
      </c>
      <c r="E3027" s="71">
        <f t="shared" si="85"/>
        <v>781.88882247459651</v>
      </c>
    </row>
    <row r="3028" spans="2:5" ht="19" customHeight="1" outlineLevel="1" x14ac:dyDescent="0.35">
      <c r="B3028" s="35" t="str">
        <f t="shared" si="84"/>
        <v>Receita de indenização da geração</v>
      </c>
      <c r="C3028" s="30">
        <f t="shared" si="86"/>
        <v>35806</v>
      </c>
      <c r="D3028" s="32">
        <f t="shared" si="87"/>
        <v>31201</v>
      </c>
      <c r="E3028" s="71">
        <f t="shared" si="85"/>
        <v>14.759142335181563</v>
      </c>
    </row>
    <row r="3029" spans="2:5" ht="19" customHeight="1" outlineLevel="1" x14ac:dyDescent="0.35">
      <c r="B3029" s="35" t="str">
        <f t="shared" si="84"/>
        <v>Receita por antecipação de prestação de serviço</v>
      </c>
      <c r="C3029" s="30">
        <f t="shared" si="86"/>
        <v>0</v>
      </c>
      <c r="D3029" s="32">
        <f t="shared" si="87"/>
        <v>0</v>
      </c>
      <c r="E3029" s="71">
        <f t="shared" si="85"/>
        <v>0</v>
      </c>
    </row>
    <row r="3030" spans="2:5" ht="19" customHeight="1" outlineLevel="1" x14ac:dyDescent="0.35">
      <c r="B3030" s="35" t="str">
        <f t="shared" si="84"/>
        <v>Outras receitas</v>
      </c>
      <c r="C3030" s="30">
        <f t="shared" si="86"/>
        <v>108309</v>
      </c>
      <c r="D3030" s="32">
        <f t="shared" si="87"/>
        <v>48791</v>
      </c>
      <c r="E3030" s="71">
        <f t="shared" si="85"/>
        <v>121.98561210059231</v>
      </c>
    </row>
    <row r="3031" spans="2:5" ht="19" customHeight="1" outlineLevel="1" x14ac:dyDescent="0.35">
      <c r="B3031" s="35" t="str">
        <f t="shared" si="84"/>
        <v>Tributos e encargos incidentes sobre as receitas</v>
      </c>
      <c r="C3031" s="30">
        <f t="shared" si="86"/>
        <v>-439759</v>
      </c>
      <c r="D3031" s="32">
        <f t="shared" si="87"/>
        <v>-357682</v>
      </c>
      <c r="E3031" s="71">
        <f t="shared" si="85"/>
        <v>22.946919330578552</v>
      </c>
    </row>
    <row r="3032" spans="2:5" ht="25" customHeight="1" x14ac:dyDescent="0.35">
      <c r="B3032" s="4" t="s">
        <v>7</v>
      </c>
      <c r="C3032" s="66">
        <f>SUM(C3033:C3052,C3058)</f>
        <v>-1805684</v>
      </c>
      <c r="D3032" s="66">
        <f>SUM(D3033:D3052,D3058)</f>
        <v>-1386786</v>
      </c>
      <c r="E3032" s="73">
        <f t="shared" si="85"/>
        <v>30.206390892322244</v>
      </c>
    </row>
    <row r="3033" spans="2:5" ht="19" customHeight="1" outlineLevel="1" x14ac:dyDescent="0.35">
      <c r="B3033" s="36" t="str">
        <f>BV387</f>
        <v>Energia elétrica comprada para revenda</v>
      </c>
      <c r="C3033" s="30">
        <f t="shared" si="86"/>
        <v>-1005385</v>
      </c>
      <c r="D3033" s="32">
        <f t="shared" ref="D3033" si="88" xml:space="preserve">
IFERROR(
INDEX($BV$257:$ED$508,
MATCH(
_xlfn.CONCAT($B$3017," | ",B3033),$BQ$257:$BQ$508,0),
MATCH($D$3019,$BV$256:$ED$256,0)),
0)</f>
        <v>-696512</v>
      </c>
      <c r="E3033" s="71">
        <f t="shared" si="85"/>
        <v>44.345682486446748</v>
      </c>
    </row>
    <row r="3034" spans="2:5" ht="19" customHeight="1" outlineLevel="1" x14ac:dyDescent="0.35">
      <c r="B3034" s="36" t="str">
        <f t="shared" ref="B3034:B3050" si="89">BV388</f>
        <v>Encargos de uso da rede básica de transmissão</v>
      </c>
      <c r="C3034" s="30">
        <f t="shared" si="86"/>
        <v>-86561</v>
      </c>
      <c r="D3034" s="32">
        <f t="shared" ref="D3034:D3051" si="90" xml:space="preserve">
IFERROR(
INDEX($BV$257:$ED$508,
MATCH(
_xlfn.CONCAT($B$3017," | ",B3034),$BQ$257:$BQ$508,0),
MATCH($D$3019,$BV$256:$ED$256,0)),
0)</f>
        <v>-74547</v>
      </c>
      <c r="E3034" s="71">
        <f t="shared" si="85"/>
        <v>16.116007351067108</v>
      </c>
    </row>
    <row r="3035" spans="2:5" ht="19" customHeight="1" outlineLevel="1" x14ac:dyDescent="0.35">
      <c r="B3035" s="36" t="str">
        <f t="shared" si="89"/>
        <v>Custo de construção da transmissão</v>
      </c>
      <c r="C3035" s="30">
        <f t="shared" si="86"/>
        <v>-164936</v>
      </c>
      <c r="D3035" s="32">
        <f t="shared" si="90"/>
        <v>-138924</v>
      </c>
      <c r="E3035" s="71">
        <f t="shared" si="85"/>
        <v>18.723906596412434</v>
      </c>
    </row>
    <row r="3036" spans="2:5" ht="19" customHeight="1" outlineLevel="1" x14ac:dyDescent="0.35">
      <c r="B3036" s="36" t="str">
        <f t="shared" si="89"/>
        <v>Pessoal</v>
      </c>
      <c r="C3036" s="30">
        <f t="shared" si="86"/>
        <v>-100137</v>
      </c>
      <c r="D3036" s="32">
        <f t="shared" si="90"/>
        <v>-90075</v>
      </c>
      <c r="E3036" s="71">
        <f t="shared" si="85"/>
        <v>11.1706910907577</v>
      </c>
    </row>
    <row r="3037" spans="2:5" ht="19" customHeight="1" outlineLevel="1" x14ac:dyDescent="0.35">
      <c r="B3037" s="36" t="str">
        <f t="shared" si="89"/>
        <v>Participação dos empregados no resultado</v>
      </c>
      <c r="C3037" s="30">
        <f t="shared" si="86"/>
        <v>-13369</v>
      </c>
      <c r="D3037" s="32">
        <f t="shared" si="90"/>
        <v>-9818</v>
      </c>
      <c r="E3037" s="71">
        <f t="shared" si="85"/>
        <v>36.168262375229162</v>
      </c>
    </row>
    <row r="3038" spans="2:5" ht="19" customHeight="1" outlineLevel="1" x14ac:dyDescent="0.35">
      <c r="B3038" s="36" t="str">
        <f t="shared" si="89"/>
        <v>Obrigações Pós-emprego</v>
      </c>
      <c r="C3038" s="30">
        <f t="shared" si="86"/>
        <v>-9827</v>
      </c>
      <c r="D3038" s="32">
        <f t="shared" si="90"/>
        <v>-22345</v>
      </c>
      <c r="E3038" s="71">
        <f t="shared" si="85"/>
        <v>-56.02148131573059</v>
      </c>
    </row>
    <row r="3039" spans="2:5" ht="19" customHeight="1" outlineLevel="1" x14ac:dyDescent="0.35">
      <c r="B3039" s="36" t="str">
        <f t="shared" si="89"/>
        <v>Materiais</v>
      </c>
      <c r="C3039" s="30">
        <f t="shared" si="86"/>
        <v>-8688</v>
      </c>
      <c r="D3039" s="32">
        <f t="shared" si="90"/>
        <v>-8805</v>
      </c>
      <c r="E3039" s="71">
        <f t="shared" si="85"/>
        <v>-1.3287904599659339</v>
      </c>
    </row>
    <row r="3040" spans="2:5" ht="19" customHeight="1" outlineLevel="1" x14ac:dyDescent="0.35">
      <c r="B3040" s="36" t="str">
        <f t="shared" si="89"/>
        <v>Serviços de terceiros</v>
      </c>
      <c r="C3040" s="30">
        <f t="shared" si="86"/>
        <v>-82725</v>
      </c>
      <c r="D3040" s="32">
        <f t="shared" si="90"/>
        <v>-61442</v>
      </c>
      <c r="E3040" s="71">
        <f t="shared" si="85"/>
        <v>34.63917190195631</v>
      </c>
    </row>
    <row r="3041" spans="2:5" ht="19" customHeight="1" outlineLevel="1" x14ac:dyDescent="0.35">
      <c r="B3041" s="36" t="str">
        <f t="shared" si="89"/>
        <v>Depreciação e amortização</v>
      </c>
      <c r="C3041" s="30">
        <f t="shared" si="86"/>
        <v>-96321</v>
      </c>
      <c r="D3041" s="32">
        <f t="shared" si="90"/>
        <v>-82274</v>
      </c>
      <c r="E3041" s="71">
        <f t="shared" si="85"/>
        <v>17.073437537982826</v>
      </c>
    </row>
    <row r="3042" spans="2:5" ht="19" customHeight="1" outlineLevel="1" x14ac:dyDescent="0.35">
      <c r="B3042" s="36" t="str">
        <f t="shared" si="89"/>
        <v>Provisões para contingências</v>
      </c>
      <c r="C3042" s="30">
        <f t="shared" si="86"/>
        <v>-189039</v>
      </c>
      <c r="D3042" s="32">
        <f t="shared" si="90"/>
        <v>-1731</v>
      </c>
      <c r="E3042" s="71">
        <f t="shared" si="85"/>
        <v>10820.797227036395</v>
      </c>
    </row>
    <row r="3043" spans="2:5" ht="19" customHeight="1" outlineLevel="1" x14ac:dyDescent="0.35">
      <c r="B3043" s="36" t="str">
        <f t="shared" si="89"/>
        <v>Reversão de provisão com partes relacionadas</v>
      </c>
      <c r="C3043" s="30">
        <f t="shared" si="86"/>
        <v>0</v>
      </c>
      <c r="D3043" s="32">
        <f t="shared" si="90"/>
        <v>0</v>
      </c>
      <c r="E3043" s="71">
        <f t="shared" si="85"/>
        <v>0</v>
      </c>
    </row>
    <row r="3044" spans="2:5" ht="19" customHeight="1" outlineLevel="1" x14ac:dyDescent="0.35">
      <c r="B3044" s="36" t="str">
        <f t="shared" si="89"/>
        <v>Perdas de créditos esperadas</v>
      </c>
      <c r="C3044" s="30">
        <f t="shared" si="86"/>
        <v>1914</v>
      </c>
      <c r="D3044" s="32">
        <f t="shared" si="90"/>
        <v>-599</v>
      </c>
      <c r="E3044" s="71">
        <f t="shared" si="85"/>
        <v>-419.53255425709523</v>
      </c>
    </row>
    <row r="3045" spans="2:5" ht="19" customHeight="1" outlineLevel="1" x14ac:dyDescent="0.35">
      <c r="B3045" s="36" t="str">
        <f t="shared" si="89"/>
        <v>Perda esperada com outros créditos</v>
      </c>
      <c r="C3045" s="30">
        <f t="shared" si="86"/>
        <v>-4444</v>
      </c>
      <c r="D3045" s="32">
        <f t="shared" si="90"/>
        <v>-5</v>
      </c>
      <c r="E3045" s="71">
        <f t="shared" si="85"/>
        <v>88780</v>
      </c>
    </row>
    <row r="3046" spans="2:5" ht="19" customHeight="1" outlineLevel="1" x14ac:dyDescent="0.35">
      <c r="B3046" s="36" t="str">
        <f t="shared" si="89"/>
        <v>Remensuração RBSE</v>
      </c>
      <c r="C3046" s="30">
        <f t="shared" si="86"/>
        <v>0</v>
      </c>
      <c r="D3046" s="32">
        <f t="shared" si="90"/>
        <v>-198895</v>
      </c>
      <c r="E3046" s="71">
        <f t="shared" si="85"/>
        <v>-100</v>
      </c>
    </row>
    <row r="3047" spans="2:5" ht="19" customHeight="1" outlineLevel="1" x14ac:dyDescent="0.35">
      <c r="B3047" s="36" t="str">
        <f t="shared" si="89"/>
        <v>Reversão de perda esperada com parte relacionada - Renova</v>
      </c>
      <c r="C3047" s="30">
        <f t="shared" si="86"/>
        <v>0</v>
      </c>
      <c r="D3047" s="32">
        <f t="shared" si="90"/>
        <v>0</v>
      </c>
      <c r="E3047" s="71">
        <f t="shared" si="85"/>
        <v>0</v>
      </c>
    </row>
    <row r="3048" spans="2:5" ht="19" customHeight="1" outlineLevel="1" x14ac:dyDescent="0.35">
      <c r="B3048" s="36" t="str">
        <f t="shared" si="89"/>
        <v>Opção de venda - SAAG</v>
      </c>
      <c r="C3048" s="30">
        <f t="shared" si="86"/>
        <v>0</v>
      </c>
      <c r="D3048" s="32">
        <f t="shared" si="90"/>
        <v>0</v>
      </c>
      <c r="E3048" s="71">
        <f t="shared" si="85"/>
        <v>0</v>
      </c>
    </row>
    <row r="3049" spans="2:5" ht="19" customHeight="1" outlineLevel="1" x14ac:dyDescent="0.35">
      <c r="B3049" s="36" t="str">
        <f t="shared" si="89"/>
        <v>Perda (reversão) por redução ao valor recuperável</v>
      </c>
      <c r="C3049" s="30">
        <f t="shared" si="86"/>
        <v>0</v>
      </c>
      <c r="D3049" s="32">
        <f t="shared" si="90"/>
        <v>0</v>
      </c>
      <c r="E3049" s="71">
        <f t="shared" si="85"/>
        <v>0</v>
      </c>
    </row>
    <row r="3050" spans="2:5" ht="19" customHeight="1" outlineLevel="1" x14ac:dyDescent="0.35">
      <c r="B3050" s="36" t="str">
        <f t="shared" si="89"/>
        <v>Ajuste a valor justo de ativo financeiro</v>
      </c>
      <c r="C3050" s="30">
        <f t="shared" si="86"/>
        <v>0</v>
      </c>
      <c r="D3050" s="32">
        <f t="shared" si="90"/>
        <v>0</v>
      </c>
      <c r="E3050" s="71">
        <f t="shared" si="85"/>
        <v>0</v>
      </c>
    </row>
    <row r="3051" spans="2:5" ht="19" customHeight="1" outlineLevel="1" x14ac:dyDescent="0.35">
      <c r="B3051" s="36" t="str">
        <f>BV405</f>
        <v>Outros custos e despesas (reversões)</v>
      </c>
      <c r="C3051" s="30">
        <f t="shared" si="86"/>
        <v>-46166</v>
      </c>
      <c r="D3051" s="32">
        <f t="shared" si="90"/>
        <v>-814</v>
      </c>
      <c r="E3051" s="71">
        <f t="shared" si="85"/>
        <v>5571.498771498771</v>
      </c>
    </row>
    <row r="3052" spans="2:5" ht="19" customHeight="1" outlineLevel="1" collapsed="1" x14ac:dyDescent="0.35">
      <c r="B3052" s="7" t="str">
        <f t="shared" ref="B3052:B3069" si="91">BV406</f>
        <v>Outras receitas</v>
      </c>
      <c r="C3052" s="77">
        <f>SUM(C3053:C3057)</f>
        <v>0</v>
      </c>
      <c r="D3052" s="77">
        <f>SUM(D3053:D3057)</f>
        <v>0</v>
      </c>
      <c r="E3052" s="72">
        <f t="shared" si="85"/>
        <v>0</v>
      </c>
    </row>
    <row r="3053" spans="2:5" ht="19" hidden="1" customHeight="1" outlineLevel="2" x14ac:dyDescent="0.35">
      <c r="B3053" s="6" t="str">
        <f t="shared" si="91"/>
        <v>Ganho na alienação de investimentos</v>
      </c>
      <c r="C3053" s="30">
        <f t="shared" si="86"/>
        <v>0</v>
      </c>
      <c r="D3053" s="32">
        <f t="shared" ref="D3053" si="92" xml:space="preserve">
IFERROR(
INDEX($BV$257:$ED$508,
MATCH(
_xlfn.CONCAT($B$3017," | ",B3053),$BQ$257:$BQ$508,0),
MATCH($D$3019,$BV$256:$ED$256,0)),
0)</f>
        <v>0</v>
      </c>
      <c r="E3053" s="71">
        <f t="shared" si="85"/>
        <v>0</v>
      </c>
    </row>
    <row r="3054" spans="2:5" ht="19" hidden="1" customHeight="1" outlineLevel="2" x14ac:dyDescent="0.35">
      <c r="B3054" s="6" t="str">
        <f t="shared" si="91"/>
        <v>Ganho por compra vantajosa</v>
      </c>
      <c r="C3054" s="30">
        <f t="shared" si="86"/>
        <v>0</v>
      </c>
      <c r="D3054" s="32">
        <f t="shared" ref="D3054:D3057" si="93" xml:space="preserve">
IFERROR(
INDEX($BV$257:$ED$508,
MATCH(
_xlfn.CONCAT($B$3017," | ",B3054),$BQ$257:$BQ$508,0),
MATCH($D$3019,$BV$256:$ED$256,0)),
0)</f>
        <v>0</v>
      </c>
      <c r="E3054" s="71">
        <f t="shared" si="85"/>
        <v>0</v>
      </c>
    </row>
    <row r="3055" spans="2:5" ht="19" hidden="1" customHeight="1" outlineLevel="2" x14ac:dyDescent="0.35">
      <c r="B3055" s="6" t="str">
        <f t="shared" si="91"/>
        <v xml:space="preserve">Ganho na alienação de imobilizados </v>
      </c>
      <c r="C3055" s="30">
        <f t="shared" si="86"/>
        <v>0</v>
      </c>
      <c r="D3055" s="32">
        <f t="shared" si="93"/>
        <v>0</v>
      </c>
      <c r="E3055" s="71">
        <f t="shared" si="85"/>
        <v>0</v>
      </c>
    </row>
    <row r="3056" spans="2:5" ht="19" hidden="1" customHeight="1" outlineLevel="2" x14ac:dyDescent="0.35">
      <c r="B3056" s="6" t="str">
        <f t="shared" si="91"/>
        <v>Ganho de capital</v>
      </c>
      <c r="C3056" s="30">
        <f t="shared" si="86"/>
        <v>0</v>
      </c>
      <c r="D3056" s="32">
        <f t="shared" si="93"/>
        <v>0</v>
      </c>
      <c r="E3056" s="71">
        <f t="shared" si="85"/>
        <v>0</v>
      </c>
    </row>
    <row r="3057" spans="2:5" ht="19" hidden="1" customHeight="1" outlineLevel="2" x14ac:dyDescent="0.35">
      <c r="B3057" s="6" t="str">
        <f t="shared" si="91"/>
        <v>Revisão Tarifária Periódica, liquida</v>
      </c>
      <c r="C3057" s="30">
        <f t="shared" si="86"/>
        <v>0</v>
      </c>
      <c r="D3057" s="32">
        <f t="shared" si="93"/>
        <v>0</v>
      </c>
      <c r="E3057" s="71">
        <f t="shared" si="85"/>
        <v>0</v>
      </c>
    </row>
    <row r="3058" spans="2:5" ht="19" customHeight="1" outlineLevel="1" x14ac:dyDescent="0.35">
      <c r="B3058" s="36" t="str">
        <f>BV412</f>
        <v>Outros</v>
      </c>
      <c r="C3058" s="30">
        <f xml:space="preserve">
IFERROR(
INDEX($BV$257:$ED$508,
MATCH(
_xlfn.CONCAT($B$3017," | ",B3058),$BQ$257:$BQ$508,0),
MATCH($C$3019,$BV$256:$ED$256,0)),
0)</f>
        <v>0</v>
      </c>
      <c r="D3058" s="32">
        <f xml:space="preserve">
IFERROR(
INDEX($BV$257:$ED$508,
MATCH(
_xlfn.CONCAT($B$3017," | ",B3058),$BQ$257:$BQ$508,0),
MATCH($D$3019,$BV$256:$ED$256,0)),
0)</f>
        <v>0</v>
      </c>
      <c r="E3058" s="71">
        <f t="shared" si="85"/>
        <v>0</v>
      </c>
    </row>
    <row r="3059" spans="2:5" ht="25" customHeight="1" x14ac:dyDescent="0.35">
      <c r="B3059" s="42" t="str">
        <f t="shared" si="91"/>
        <v>RESULTADO DE EQUIVALÊNCIA PATRIMONIAL</v>
      </c>
      <c r="C3059" s="66">
        <f xml:space="preserve">
IFERROR(
INDEX($BV$257:$ED$508,
MATCH(
_xlfn.CONCAT($B$3017," | ",B3059),$BQ$257:$BQ$508,0),
MATCH($C$3019,$BV$256:$ED$256,0)),
0)</f>
        <v>-28626</v>
      </c>
      <c r="D3059" s="52">
        <f xml:space="preserve">
IFERROR(
INDEX($BY$257:$ED$508,
MATCH(
_xlfn.CONCAT($B$3017," | ",B3059),$BQ$257:$BQ$508,0),
MATCH($D$3019,$BY$256:$ED$256,0)),
0)</f>
        <v>-32835</v>
      </c>
      <c r="E3059" s="73">
        <f t="shared" si="85"/>
        <v>-12.818638647784375</v>
      </c>
    </row>
    <row r="3060" spans="2:5" ht="25" customHeight="1" x14ac:dyDescent="0.35">
      <c r="B3060" s="42" t="str">
        <f t="shared" si="91"/>
        <v>LUCRO ANTES DO RESULTADO FINANCEIRO E TRIBUTOS</v>
      </c>
      <c r="C3060" s="52">
        <f t="shared" ref="C3060" si="94">IFERROR(SUM(C3020,C3032,C3059),0)</f>
        <v>381839</v>
      </c>
      <c r="D3060" s="52">
        <f t="shared" ref="D3060" si="95">IFERROR(SUM(D3020,D3032,D3059),0)</f>
        <v>332816</v>
      </c>
      <c r="E3060" s="73">
        <f t="shared" si="85"/>
        <v>14.729760588433249</v>
      </c>
    </row>
    <row r="3061" spans="2:5" ht="25" customHeight="1" x14ac:dyDescent="0.35">
      <c r="B3061" s="42" t="str">
        <f t="shared" si="91"/>
        <v>RESULTADO FINANCEIRO</v>
      </c>
      <c r="C3061" s="52">
        <f>IFERROR(SUM(C3062:C3063),0)</f>
        <v>-119860</v>
      </c>
      <c r="D3061" s="52">
        <f>IFERROR(SUM(D3062:D3063),0)</f>
        <v>-8834</v>
      </c>
      <c r="E3061" s="73">
        <f t="shared" si="85"/>
        <v>1256.8032601313109</v>
      </c>
    </row>
    <row r="3062" spans="2:5" ht="19" customHeight="1" x14ac:dyDescent="0.35">
      <c r="B3062" s="36" t="str">
        <f t="shared" si="91"/>
        <v>Receitas financeiras</v>
      </c>
      <c r="C3062" s="30">
        <f t="shared" ref="C3062:C3063" si="96" xml:space="preserve">
IFERROR(
INDEX($BV$257:$ED$508,
MATCH(
_xlfn.CONCAT($B$3017," | ",B3062),$BQ$257:$BQ$508,0),
MATCH($C$3019,$BV$256:$ED$256,0)),
0)</f>
        <v>65341</v>
      </c>
      <c r="D3062" s="32">
        <f t="shared" ref="D3062:D3063" si="97" xml:space="preserve">
IFERROR(
INDEX($BV$257:$ED$508,
MATCH(
_xlfn.CONCAT($B$3017," | ",B3062),$BQ$257:$BQ$508,0),
MATCH($D$3019,$BV$256:$ED$256,0)),
0)</f>
        <v>63963</v>
      </c>
      <c r="E3062" s="71">
        <f t="shared" si="85"/>
        <v>2.1543704954426701</v>
      </c>
    </row>
    <row r="3063" spans="2:5" ht="19" customHeight="1" x14ac:dyDescent="0.35">
      <c r="B3063" s="36" t="str">
        <f t="shared" si="91"/>
        <v>Despesas financeiras</v>
      </c>
      <c r="C3063" s="30">
        <f t="shared" si="96"/>
        <v>-185201</v>
      </c>
      <c r="D3063" s="32">
        <f t="shared" si="97"/>
        <v>-72797</v>
      </c>
      <c r="E3063" s="71">
        <f t="shared" si="85"/>
        <v>154.40746184595517</v>
      </c>
    </row>
    <row r="3064" spans="2:5" ht="25" customHeight="1" x14ac:dyDescent="0.35">
      <c r="B3064" s="42" t="str">
        <f t="shared" si="91"/>
        <v xml:space="preserve">LUCROS ANTES DO IMPOSTO DE RENDA E CONTRIBUIÇÃO SOCIAL </v>
      </c>
      <c r="C3064" s="52">
        <f>IFERROR(SUM(C3060:C3061),0)</f>
        <v>261979</v>
      </c>
      <c r="D3064" s="52">
        <f t="shared" ref="D3064" si="98">IFERROR(SUM(D3060:D3061),0)</f>
        <v>323982</v>
      </c>
      <c r="E3064" s="73">
        <f t="shared" si="85"/>
        <v>-19.137791605706489</v>
      </c>
    </row>
    <row r="3065" spans="2:5" ht="25" customHeight="1" x14ac:dyDescent="0.35">
      <c r="B3065" s="18" t="str">
        <f t="shared" si="91"/>
        <v>IMPOSTO DE RENDA E CONTRIBUIÇÃO SOCIAL.</v>
      </c>
      <c r="C3065" s="52">
        <f>IFERROR(SUM(C3066:C3067),0)</f>
        <v>7611</v>
      </c>
      <c r="D3065" s="52">
        <f>IFERROR(SUM(D3066:D3067),0)</f>
        <v>18138</v>
      </c>
      <c r="E3065" s="73">
        <f t="shared" si="85"/>
        <v>-58.038372477671189</v>
      </c>
    </row>
    <row r="3066" spans="2:5" ht="19" customHeight="1" x14ac:dyDescent="0.35">
      <c r="B3066" s="36" t="str">
        <f t="shared" si="91"/>
        <v>Imposto de renda e contribuição social</v>
      </c>
      <c r="C3066" s="30">
        <f t="shared" ref="C3066:C3067" si="99" xml:space="preserve">
IFERROR(
INDEX($BV$257:$ED$508,
MATCH(
_xlfn.CONCAT($B$3017," | ",B3066),$BQ$257:$BQ$508,0),
MATCH($C$3019,$BV$256:$ED$256,0)),
0)</f>
        <v>-37565</v>
      </c>
      <c r="D3066" s="32">
        <f t="shared" ref="D3066:D3067" si="100" xml:space="preserve">
IFERROR(
INDEX($BV$257:$ED$508,
MATCH(
_xlfn.CONCAT($B$3017," | ",B3066),$BQ$257:$BQ$508,0),
MATCH($D$3019,$BV$256:$ED$256,0)),
0)</f>
        <v>-71635</v>
      </c>
      <c r="E3066" s="71">
        <f t="shared" si="85"/>
        <v>-47.56055001046974</v>
      </c>
    </row>
    <row r="3067" spans="2:5" ht="19" customHeight="1" x14ac:dyDescent="0.35">
      <c r="B3067" s="36" t="str">
        <f t="shared" si="91"/>
        <v>Imposto de renda e contribuição social diferidos</v>
      </c>
      <c r="C3067" s="30">
        <f t="shared" si="99"/>
        <v>45176</v>
      </c>
      <c r="D3067" s="32">
        <f t="shared" si="100"/>
        <v>89773</v>
      </c>
      <c r="E3067" s="71">
        <f t="shared" si="85"/>
        <v>-49.677519967027948</v>
      </c>
    </row>
    <row r="3068" spans="2:5" ht="25" customHeight="1" x14ac:dyDescent="0.35">
      <c r="B3068" s="42" t="str">
        <f t="shared" si="91"/>
        <v>LUCRO LÍQUIDO</v>
      </c>
      <c r="C3068" s="53">
        <f>IFERROR(SUM(C3064:C3065),0)</f>
        <v>269590</v>
      </c>
      <c r="D3068" s="53">
        <f t="shared" ref="D3068" si="101">IFERROR(SUM(D3064:D3065),0)</f>
        <v>342120</v>
      </c>
      <c r="E3068" s="73">
        <f t="shared" si="85"/>
        <v>-21.200163685256634</v>
      </c>
    </row>
    <row r="3069" spans="2:5" ht="25" customHeight="1" thickBot="1" x14ac:dyDescent="0.4">
      <c r="B3069" s="331" t="str">
        <f t="shared" si="91"/>
        <v>LUCRO BÁSICO E DILUÍDO POR AÇÃO</v>
      </c>
      <c r="C3069" s="335">
        <f xml:space="preserve">
IFERROR(
INDEX($BV$257:$ED$508,
MATCH(
_xlfn.CONCAT($B$3017," | ",B3069),$BQ$257:$BQ$508,0),
MATCH($C$3019,$BV$256:$ED$256,0)),
0)</f>
        <v>0.09</v>
      </c>
      <c r="D3069" s="336">
        <f xml:space="preserve">
IFERROR(
INDEX($BY$257:$ED$508,
MATCH(
_xlfn.CONCAT($B$3017," | ",B3069),$BQ$257:$BQ$508,0),
MATCH($D$3019,$BY$256:$ED$256,0)),
0)</f>
        <v>0.12</v>
      </c>
      <c r="E3069" s="339">
        <f t="shared" si="85"/>
        <v>-25</v>
      </c>
    </row>
    <row r="3072" spans="2:5" ht="25" customHeight="1" x14ac:dyDescent="0.35">
      <c r="B3072" s="469"/>
      <c r="C3072" s="470"/>
    </row>
    <row r="3073" spans="2:3" ht="23.15" customHeight="1" x14ac:dyDescent="0.35">
      <c r="B3073" s="471"/>
      <c r="C3073" s="107"/>
    </row>
    <row r="3074" spans="2:3" ht="19" customHeight="1" x14ac:dyDescent="0.35">
      <c r="B3074" s="74"/>
      <c r="C3074" s="107"/>
    </row>
    <row r="3075" spans="2:3" ht="19" customHeight="1" x14ac:dyDescent="0.35">
      <c r="B3075" s="74"/>
      <c r="C3075" s="107"/>
    </row>
    <row r="3076" spans="2:3" ht="19" customHeight="1" x14ac:dyDescent="0.35">
      <c r="B3076" s="74"/>
      <c r="C3076" s="107"/>
    </row>
    <row r="3077" spans="2:3" ht="19" customHeight="1" x14ac:dyDescent="0.35">
      <c r="B3077" s="74"/>
      <c r="C3077" s="107"/>
    </row>
    <row r="3078" spans="2:3" ht="19" customHeight="1" x14ac:dyDescent="0.35">
      <c r="B3078" s="74"/>
      <c r="C3078" s="107"/>
    </row>
  </sheetData>
  <dataConsolidate/>
  <mergeCells count="7">
    <mergeCell ref="B2013:E2013"/>
    <mergeCell ref="B3015:E3015"/>
    <mergeCell ref="BV326:CV326"/>
    <mergeCell ref="B4:E4"/>
    <mergeCell ref="BV252:CV252"/>
    <mergeCell ref="BV254:CV254"/>
    <mergeCell ref="BV371:CV371"/>
  </mergeCells>
  <phoneticPr fontId="12" type="noConversion"/>
  <dataValidations disablePrompts="1" count="1">
    <dataValidation type="list" allowBlank="1" showInputMessage="1" showErrorMessage="1" sqref="E2015 E3017 E6" xr:uid="{AE1CF524-8769-4738-ADB3-5A5AD86DCEF1}">
      <formula1>$BW$256:$ED$256</formula1>
    </dataValidation>
  </dataValidations>
  <pageMargins left="0.511811024" right="0.511811024" top="0.78740157499999996" bottom="0.78740157499999996" header="0.31496062000000002" footer="0.31496062000000002"/>
  <pageSetup orientation="portrait" r:id="rId1"/>
  <ignoredErrors>
    <ignoredError sqref="C30:D30 C68:D68 C50:D50 C2029:D2029 C2054:D2054 C3052:D3052 C3032:D3032 C3068:D3068 C2044:D2044 C3022:D3022 C14:D14" formula="1"/>
    <ignoredError sqref="CM298 CP298 BW262:CV262 BX376:CV376 BW406:CV406 BX298:BY298 BY340:CV34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C092-687E-4BE9-83F7-3C8F3D9BE852}">
  <sheetPr>
    <tabColor rgb="FF17772E"/>
  </sheetPr>
  <dimension ref="A1:CS1926"/>
  <sheetViews>
    <sheetView showGridLines="0" topLeftCell="A2" zoomScaleNormal="100" workbookViewId="0"/>
  </sheetViews>
  <sheetFormatPr defaultColWidth="8.7265625" defaultRowHeight="19" customHeight="1" x14ac:dyDescent="0.35"/>
  <cols>
    <col min="1" max="1" width="2.54296875" style="1" customWidth="1"/>
    <col min="2" max="2" width="63.81640625" style="1" customWidth="1"/>
    <col min="3" max="7" width="20.7265625" style="1" customWidth="1"/>
    <col min="8" max="9" width="20.54296875" style="1" customWidth="1"/>
    <col min="10" max="69" width="8.7265625" style="1"/>
    <col min="70" max="70" width="16.7265625" style="1" customWidth="1"/>
    <col min="71" max="71" width="52.7265625" style="1" customWidth="1"/>
    <col min="72" max="97" width="15.54296875" style="1" customWidth="1"/>
    <col min="98" max="16384" width="8.7265625" style="1"/>
  </cols>
  <sheetData>
    <row r="1" spans="1:9" ht="5.5" hidden="1" customHeight="1" x14ac:dyDescent="0.35">
      <c r="A1" s="1" t="s">
        <v>134</v>
      </c>
    </row>
    <row r="2" spans="1:9" ht="18" customHeight="1" x14ac:dyDescent="0.35">
      <c r="A2"/>
    </row>
    <row r="3" spans="1:9" ht="18" customHeight="1" x14ac:dyDescent="0.35">
      <c r="A3"/>
    </row>
    <row r="4" spans="1:9" ht="19" customHeight="1" x14ac:dyDescent="0.35">
      <c r="A4"/>
    </row>
    <row r="5" spans="1:9" ht="45" customHeight="1" x14ac:dyDescent="0.35">
      <c r="A5"/>
      <c r="B5" s="481" t="s">
        <v>135</v>
      </c>
      <c r="C5" s="481"/>
      <c r="D5" s="481"/>
      <c r="E5" s="481"/>
      <c r="F5" s="481"/>
      <c r="G5" s="481"/>
      <c r="H5" s="481"/>
      <c r="I5" s="481"/>
    </row>
    <row r="6" spans="1:9" ht="10" customHeight="1" x14ac:dyDescent="0.35">
      <c r="A6"/>
      <c r="B6" s="29"/>
      <c r="C6" s="29"/>
      <c r="D6" s="29"/>
      <c r="E6" s="29"/>
      <c r="F6" s="29"/>
      <c r="G6" s="29"/>
      <c r="H6" s="134"/>
      <c r="I6" s="29"/>
    </row>
    <row r="7" spans="1:9" ht="40" customHeight="1" x14ac:dyDescent="0.35">
      <c r="A7"/>
      <c r="B7" s="479" t="s">
        <v>1</v>
      </c>
      <c r="C7" s="479"/>
      <c r="D7" s="112"/>
      <c r="E7" s="112"/>
      <c r="F7" s="112"/>
      <c r="G7" s="112"/>
      <c r="H7" s="482"/>
      <c r="I7" s="482"/>
    </row>
    <row r="8" spans="1:9" ht="15" customHeight="1" x14ac:dyDescent="0.35">
      <c r="A8"/>
      <c r="B8" s="83" t="s">
        <v>25</v>
      </c>
    </row>
    <row r="9" spans="1:9" ht="35.15" customHeight="1" x14ac:dyDescent="0.35">
      <c r="A9"/>
      <c r="B9" s="168" t="s">
        <v>822</v>
      </c>
      <c r="C9" s="167" t="s">
        <v>137</v>
      </c>
      <c r="D9" s="167" t="s">
        <v>138</v>
      </c>
      <c r="E9" s="167" t="s">
        <v>139</v>
      </c>
      <c r="F9" s="167" t="s">
        <v>140</v>
      </c>
      <c r="G9" s="167" t="s">
        <v>141</v>
      </c>
      <c r="H9" s="164" t="s">
        <v>142</v>
      </c>
      <c r="I9" s="166" t="s">
        <v>143</v>
      </c>
    </row>
    <row r="10" spans="1:9" ht="25" customHeight="1" x14ac:dyDescent="0.35">
      <c r="A10"/>
      <c r="B10" s="141" t="s">
        <v>144</v>
      </c>
      <c r="C10" s="46">
        <f>SUM(C11:C14)</f>
        <v>617128</v>
      </c>
      <c r="D10" s="46">
        <f t="shared" ref="D10:I10" si="0">SUM(D11:D14)</f>
        <v>251104</v>
      </c>
      <c r="E10" s="46">
        <f t="shared" si="0"/>
        <v>-371150</v>
      </c>
      <c r="F10" s="46">
        <f t="shared" si="0"/>
        <v>1476750</v>
      </c>
      <c r="G10" s="46">
        <f t="shared" si="0"/>
        <v>205905</v>
      </c>
      <c r="H10" s="46">
        <f t="shared" si="0"/>
        <v>59578</v>
      </c>
      <c r="I10" s="46">
        <f t="shared" si="0"/>
        <v>2239315</v>
      </c>
    </row>
    <row r="11" spans="1:9" ht="20.149999999999999" customHeight="1" x14ac:dyDescent="0.35">
      <c r="A11"/>
      <c r="B11" s="142" t="s">
        <v>145</v>
      </c>
      <c r="C11" s="76">
        <v>465514</v>
      </c>
      <c r="D11" s="76">
        <v>189072</v>
      </c>
      <c r="E11" s="76">
        <v>-308139</v>
      </c>
      <c r="F11" s="76">
        <v>483134</v>
      </c>
      <c r="G11" s="76">
        <v>95897</v>
      </c>
      <c r="H11" s="32">
        <v>19966</v>
      </c>
      <c r="I11" s="32">
        <f>SUM(C11:H11)</f>
        <v>945444</v>
      </c>
    </row>
    <row r="12" spans="1:9" ht="20.149999999999999" customHeight="1" x14ac:dyDescent="0.35">
      <c r="A12"/>
      <c r="B12" s="142" t="s">
        <v>821</v>
      </c>
      <c r="C12" s="76">
        <v>24737</v>
      </c>
      <c r="D12" s="76">
        <v>23769</v>
      </c>
      <c r="E12" s="76">
        <v>-63283</v>
      </c>
      <c r="F12" s="76">
        <v>103627</v>
      </c>
      <c r="G12" s="76">
        <v>49062</v>
      </c>
      <c r="H12" s="32">
        <v>-50015</v>
      </c>
      <c r="I12" s="32">
        <f t="shared" ref="I12:I14" si="1">SUM(C12:H12)</f>
        <v>87897</v>
      </c>
    </row>
    <row r="13" spans="1:9" ht="20.149999999999999" customHeight="1" x14ac:dyDescent="0.35">
      <c r="A13"/>
      <c r="B13" s="142" t="s">
        <v>146</v>
      </c>
      <c r="C13" s="76">
        <v>42030</v>
      </c>
      <c r="D13" s="76">
        <v>33322</v>
      </c>
      <c r="E13" s="76">
        <v>269</v>
      </c>
      <c r="F13" s="76">
        <v>608194</v>
      </c>
      <c r="G13" s="76">
        <v>32050</v>
      </c>
      <c r="H13" s="32">
        <v>80040</v>
      </c>
      <c r="I13" s="32">
        <f t="shared" si="1"/>
        <v>795905</v>
      </c>
    </row>
    <row r="14" spans="1:9" ht="20.149999999999999" customHeight="1" x14ac:dyDescent="0.35">
      <c r="A14"/>
      <c r="B14" s="142" t="s">
        <v>79</v>
      </c>
      <c r="C14" s="76">
        <v>84847</v>
      </c>
      <c r="D14" s="76">
        <v>4941</v>
      </c>
      <c r="E14" s="76">
        <v>3</v>
      </c>
      <c r="F14" s="76">
        <v>281795</v>
      </c>
      <c r="G14" s="76">
        <v>28896</v>
      </c>
      <c r="H14" s="32">
        <v>9587</v>
      </c>
      <c r="I14" s="32">
        <f t="shared" si="1"/>
        <v>410069</v>
      </c>
    </row>
    <row r="15" spans="1:9" ht="25" customHeight="1" x14ac:dyDescent="0.35">
      <c r="A15"/>
      <c r="B15" s="141" t="s">
        <v>147</v>
      </c>
      <c r="C15" s="46">
        <f t="shared" ref="C15:H15" si="2">SUM(C16:C18)</f>
        <v>4188</v>
      </c>
      <c r="D15" s="46">
        <f t="shared" si="2"/>
        <v>2588</v>
      </c>
      <c r="E15" s="46">
        <f t="shared" si="2"/>
        <v>191246</v>
      </c>
      <c r="F15" s="46">
        <f t="shared" si="2"/>
        <v>31546</v>
      </c>
      <c r="G15" s="46">
        <f t="shared" si="2"/>
        <v>-412</v>
      </c>
      <c r="H15" s="46">
        <f t="shared" si="2"/>
        <v>3882</v>
      </c>
      <c r="I15" s="52">
        <f>SUM(C15:H15)</f>
        <v>233038</v>
      </c>
    </row>
    <row r="16" spans="1:9" ht="20.149999999999999" customHeight="1" x14ac:dyDescent="0.35">
      <c r="A16"/>
      <c r="B16" s="142" t="s">
        <v>148</v>
      </c>
      <c r="C16" s="76">
        <v>0</v>
      </c>
      <c r="D16" s="76">
        <v>0</v>
      </c>
      <c r="E16" s="76">
        <v>0</v>
      </c>
      <c r="F16" s="76">
        <v>0</v>
      </c>
      <c r="G16" s="76">
        <v>-412</v>
      </c>
      <c r="H16" s="32">
        <v>0</v>
      </c>
      <c r="I16" s="32">
        <f t="shared" ref="I16:I18" si="3">SUM(C16:H16)</f>
        <v>-412</v>
      </c>
    </row>
    <row r="17" spans="2:9" ht="20.149999999999999" customHeight="1" x14ac:dyDescent="0.35">
      <c r="B17" s="142" t="s">
        <v>150</v>
      </c>
      <c r="C17" s="76">
        <v>4188</v>
      </c>
      <c r="D17" s="76">
        <v>2588</v>
      </c>
      <c r="E17" s="76">
        <v>593</v>
      </c>
      <c r="F17" s="76">
        <v>31546</v>
      </c>
      <c r="G17" s="76">
        <v>0</v>
      </c>
      <c r="H17" s="32">
        <v>3882</v>
      </c>
      <c r="I17" s="32">
        <f t="shared" si="3"/>
        <v>42797</v>
      </c>
    </row>
    <row r="18" spans="2:9" ht="20.149999999999999" customHeight="1" x14ac:dyDescent="0.35">
      <c r="B18" s="142" t="s">
        <v>824</v>
      </c>
      <c r="C18" s="76">
        <v>0</v>
      </c>
      <c r="D18" s="76">
        <v>0</v>
      </c>
      <c r="E18" s="76">
        <v>190653</v>
      </c>
      <c r="F18" s="76">
        <v>0</v>
      </c>
      <c r="G18" s="76">
        <v>0</v>
      </c>
      <c r="H18" s="32">
        <v>0</v>
      </c>
      <c r="I18" s="32">
        <f t="shared" si="3"/>
        <v>190653</v>
      </c>
    </row>
    <row r="19" spans="2:9" ht="28" customHeight="1" x14ac:dyDescent="0.35">
      <c r="B19" s="39" t="s">
        <v>152</v>
      </c>
      <c r="C19" s="58">
        <f t="shared" ref="C19:I19" si="4">SUM(C10,C15)</f>
        <v>621316</v>
      </c>
      <c r="D19" s="58">
        <f t="shared" si="4"/>
        <v>253692</v>
      </c>
      <c r="E19" s="58">
        <f t="shared" si="4"/>
        <v>-179904</v>
      </c>
      <c r="F19" s="58">
        <f t="shared" si="4"/>
        <v>1508296</v>
      </c>
      <c r="G19" s="58">
        <f t="shared" si="4"/>
        <v>205493</v>
      </c>
      <c r="H19" s="58">
        <f t="shared" si="4"/>
        <v>63460</v>
      </c>
      <c r="I19" s="58">
        <f t="shared" si="4"/>
        <v>2472353</v>
      </c>
    </row>
    <row r="20" spans="2:9" ht="15" customHeight="1" x14ac:dyDescent="0.35">
      <c r="B20" s="431"/>
      <c r="C20" s="432"/>
      <c r="D20" s="432"/>
      <c r="E20" s="432"/>
      <c r="F20" s="432"/>
      <c r="G20" s="432"/>
      <c r="H20" s="432"/>
      <c r="I20" s="432"/>
    </row>
    <row r="21" spans="2:9" ht="23.15" customHeight="1" x14ac:dyDescent="0.35">
      <c r="B21" s="83" t="s">
        <v>25</v>
      </c>
      <c r="C21" s="108"/>
      <c r="D21" s="108"/>
      <c r="E21" s="108"/>
      <c r="F21" s="108"/>
      <c r="G21" s="108"/>
      <c r="H21" s="108"/>
    </row>
    <row r="22" spans="2:9" ht="35.15" customHeight="1" x14ac:dyDescent="0.35">
      <c r="B22" s="168" t="s">
        <v>823</v>
      </c>
      <c r="C22" s="167" t="s">
        <v>137</v>
      </c>
      <c r="D22" s="167" t="s">
        <v>138</v>
      </c>
      <c r="E22" s="167" t="s">
        <v>139</v>
      </c>
      <c r="F22" s="167" t="s">
        <v>140</v>
      </c>
      <c r="G22" s="167" t="s">
        <v>141</v>
      </c>
      <c r="H22" s="164" t="s">
        <v>142</v>
      </c>
      <c r="I22" s="166" t="s">
        <v>143</v>
      </c>
    </row>
    <row r="23" spans="2:9" ht="25" customHeight="1" x14ac:dyDescent="0.35">
      <c r="B23" s="141" t="s">
        <v>144</v>
      </c>
      <c r="C23" s="46">
        <f>SUM(C24:C27)</f>
        <v>548125</v>
      </c>
      <c r="D23" s="46">
        <f t="shared" ref="D23:I23" si="5">SUM(D24:D27)</f>
        <v>-29745</v>
      </c>
      <c r="E23" s="46">
        <f t="shared" si="5"/>
        <v>12234</v>
      </c>
      <c r="F23" s="46">
        <f t="shared" si="5"/>
        <v>1240957</v>
      </c>
      <c r="G23" s="46">
        <f t="shared" si="5"/>
        <v>241965</v>
      </c>
      <c r="H23" s="46">
        <f t="shared" si="5"/>
        <v>45534</v>
      </c>
      <c r="I23" s="46">
        <f t="shared" si="5"/>
        <v>2059070</v>
      </c>
    </row>
    <row r="24" spans="2:9" ht="20.149999999999999" customHeight="1" x14ac:dyDescent="0.35">
      <c r="B24" s="142" t="s">
        <v>145</v>
      </c>
      <c r="C24" s="76">
        <v>449724</v>
      </c>
      <c r="D24" s="76">
        <v>-2841</v>
      </c>
      <c r="E24" s="76">
        <v>6481</v>
      </c>
      <c r="F24" s="76">
        <v>550550</v>
      </c>
      <c r="G24" s="76">
        <v>150820</v>
      </c>
      <c r="H24" s="32">
        <v>33547</v>
      </c>
      <c r="I24" s="32">
        <f>SUM(C24:H24)</f>
        <v>1188281</v>
      </c>
    </row>
    <row r="25" spans="2:9" ht="20.149999999999999" customHeight="1" x14ac:dyDescent="0.35">
      <c r="B25" s="142" t="s">
        <v>821</v>
      </c>
      <c r="C25" s="76">
        <v>31781</v>
      </c>
      <c r="D25" s="76">
        <v>-36693</v>
      </c>
      <c r="E25" s="76">
        <v>-3961</v>
      </c>
      <c r="F25" s="76">
        <v>147391</v>
      </c>
      <c r="G25" s="76">
        <v>71765</v>
      </c>
      <c r="H25" s="32">
        <v>-20474</v>
      </c>
      <c r="I25" s="32">
        <f t="shared" ref="I25:I27" si="6">SUM(C25:H25)</f>
        <v>189809</v>
      </c>
    </row>
    <row r="26" spans="2:9" ht="20.149999999999999" customHeight="1" x14ac:dyDescent="0.35">
      <c r="B26" s="142" t="s">
        <v>146</v>
      </c>
      <c r="C26" s="76">
        <v>-11424</v>
      </c>
      <c r="D26" s="76">
        <v>5137</v>
      </c>
      <c r="E26" s="76">
        <v>9711</v>
      </c>
      <c r="F26" s="76">
        <v>288644</v>
      </c>
      <c r="G26" s="76">
        <v>-6058</v>
      </c>
      <c r="H26" s="32">
        <v>26577</v>
      </c>
      <c r="I26" s="32">
        <f t="shared" si="6"/>
        <v>312587</v>
      </c>
    </row>
    <row r="27" spans="2:9" ht="20.149999999999999" customHeight="1" x14ac:dyDescent="0.35">
      <c r="B27" s="142" t="s">
        <v>79</v>
      </c>
      <c r="C27" s="76">
        <v>78044</v>
      </c>
      <c r="D27" s="76">
        <v>4652</v>
      </c>
      <c r="E27" s="76">
        <v>3</v>
      </c>
      <c r="F27" s="76">
        <v>254372</v>
      </c>
      <c r="G27" s="76">
        <v>25438</v>
      </c>
      <c r="H27" s="32">
        <v>5884</v>
      </c>
      <c r="I27" s="32">
        <f t="shared" si="6"/>
        <v>368393</v>
      </c>
    </row>
    <row r="28" spans="2:9" ht="25" customHeight="1" x14ac:dyDescent="0.35">
      <c r="B28" s="141" t="s">
        <v>147</v>
      </c>
      <c r="C28" s="46">
        <f>SUM(C29:C32)</f>
        <v>-382</v>
      </c>
      <c r="D28" s="46">
        <f t="shared" ref="D28:E28" si="7">SUM(D29:D32)</f>
        <v>198660</v>
      </c>
      <c r="E28" s="46">
        <f t="shared" si="7"/>
        <v>-54</v>
      </c>
      <c r="F28" s="46">
        <f>SUM(F29:F32)</f>
        <v>4649</v>
      </c>
      <c r="G28" s="46">
        <f>SUM(G29:G32)</f>
        <v>-648</v>
      </c>
      <c r="H28" s="46">
        <f>SUM(H29:H32)</f>
        <v>252</v>
      </c>
      <c r="I28" s="52">
        <f>SUM(C28:H28)</f>
        <v>202477</v>
      </c>
    </row>
    <row r="29" spans="2:9" ht="20.149999999999999" customHeight="1" x14ac:dyDescent="0.35">
      <c r="B29" s="142" t="s">
        <v>148</v>
      </c>
      <c r="C29" s="76">
        <v>0</v>
      </c>
      <c r="D29" s="76">
        <v>0</v>
      </c>
      <c r="E29" s="76">
        <v>0</v>
      </c>
      <c r="F29" s="76">
        <v>0</v>
      </c>
      <c r="G29" s="76">
        <v>-648</v>
      </c>
      <c r="H29" s="32">
        <v>0</v>
      </c>
      <c r="I29" s="32">
        <f t="shared" ref="I29:I32" si="8">SUM(C29:H29)</f>
        <v>-648</v>
      </c>
    </row>
    <row r="30" spans="2:9" ht="20.149999999999999" customHeight="1" x14ac:dyDescent="0.35">
      <c r="B30" s="142" t="s">
        <v>149</v>
      </c>
      <c r="C30" s="76">
        <v>-2302</v>
      </c>
      <c r="D30" s="76">
        <v>-1422</v>
      </c>
      <c r="E30" s="76">
        <v>-326</v>
      </c>
      <c r="F30" s="76">
        <v>-16163</v>
      </c>
      <c r="G30" s="76">
        <v>0</v>
      </c>
      <c r="H30" s="32">
        <v>-948</v>
      </c>
      <c r="I30" s="32">
        <f t="shared" si="8"/>
        <v>-21161</v>
      </c>
    </row>
    <row r="31" spans="2:9" ht="20.149999999999999" customHeight="1" x14ac:dyDescent="0.35">
      <c r="B31" s="142" t="s">
        <v>87</v>
      </c>
      <c r="C31" s="76">
        <v>0</v>
      </c>
      <c r="D31" s="76">
        <v>198895</v>
      </c>
      <c r="E31" s="76">
        <v>0</v>
      </c>
      <c r="F31" s="76">
        <v>0</v>
      </c>
      <c r="G31" s="76">
        <v>0</v>
      </c>
      <c r="H31" s="32">
        <v>0</v>
      </c>
      <c r="I31" s="32">
        <f t="shared" si="8"/>
        <v>198895</v>
      </c>
    </row>
    <row r="32" spans="2:9" ht="20.149999999999999" customHeight="1" x14ac:dyDescent="0.35">
      <c r="B32" s="41" t="s">
        <v>150</v>
      </c>
      <c r="C32" s="113">
        <v>1920</v>
      </c>
      <c r="D32" s="113">
        <v>1187</v>
      </c>
      <c r="E32" s="113">
        <v>272</v>
      </c>
      <c r="F32" s="113">
        <v>20812</v>
      </c>
      <c r="G32" s="113">
        <v>0</v>
      </c>
      <c r="H32" s="107">
        <v>1200</v>
      </c>
      <c r="I32" s="32">
        <f t="shared" si="8"/>
        <v>25391</v>
      </c>
    </row>
    <row r="33" spans="2:9" ht="28" customHeight="1" x14ac:dyDescent="0.35">
      <c r="B33" s="39" t="s">
        <v>152</v>
      </c>
      <c r="C33" s="58">
        <f t="shared" ref="C33:H33" si="9">SUM(C23,C28)</f>
        <v>547743</v>
      </c>
      <c r="D33" s="58">
        <f t="shared" si="9"/>
        <v>168915</v>
      </c>
      <c r="E33" s="58">
        <f t="shared" si="9"/>
        <v>12180</v>
      </c>
      <c r="F33" s="58">
        <f t="shared" si="9"/>
        <v>1245606</v>
      </c>
      <c r="G33" s="58">
        <f t="shared" si="9"/>
        <v>241317</v>
      </c>
      <c r="H33" s="58">
        <f t="shared" si="9"/>
        <v>45786</v>
      </c>
      <c r="I33" s="58">
        <f>SUM(I23,I28)</f>
        <v>2261547</v>
      </c>
    </row>
    <row r="224" spans="71:97" ht="45" customHeight="1" x14ac:dyDescent="0.35">
      <c r="BS224" s="478" t="s">
        <v>153</v>
      </c>
      <c r="BT224" s="478"/>
      <c r="BU224" s="478"/>
      <c r="BV224" s="478"/>
      <c r="BW224" s="478"/>
      <c r="BX224" s="478"/>
      <c r="BY224" s="478"/>
      <c r="BZ224" s="478"/>
      <c r="CA224" s="478"/>
      <c r="CB224" s="478"/>
      <c r="CC224" s="478"/>
      <c r="CD224" s="478"/>
      <c r="CE224" s="478"/>
      <c r="CF224" s="478"/>
      <c r="CG224" s="478"/>
      <c r="CH224" s="478"/>
      <c r="CI224" s="478"/>
      <c r="CJ224" s="478"/>
      <c r="CK224" s="478"/>
      <c r="CL224" s="478"/>
      <c r="CM224" s="478"/>
      <c r="CN224" s="478"/>
      <c r="CO224" s="478"/>
      <c r="CP224" s="478"/>
      <c r="CQ224" s="478"/>
      <c r="CR224" s="478"/>
      <c r="CS224" s="478"/>
    </row>
    <row r="225" spans="70:97" ht="10" customHeight="1" x14ac:dyDescent="0.35"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</row>
    <row r="226" spans="70:97" ht="40" customHeight="1" x14ac:dyDescent="0.35">
      <c r="BS226" s="479" t="s">
        <v>1</v>
      </c>
      <c r="BT226" s="479"/>
      <c r="BU226" s="479"/>
      <c r="BV226" s="479"/>
      <c r="BW226" s="479"/>
      <c r="BX226" s="479"/>
      <c r="BY226" s="479"/>
      <c r="BZ226" s="479"/>
      <c r="CA226" s="479"/>
      <c r="CB226" s="479"/>
      <c r="CC226" s="479"/>
      <c r="CD226" s="479"/>
      <c r="CE226" s="479"/>
      <c r="CF226" s="479"/>
      <c r="CG226" s="479"/>
      <c r="CH226" s="479"/>
      <c r="CI226" s="479"/>
      <c r="CJ226" s="479"/>
      <c r="CK226" s="479"/>
      <c r="CL226" s="479"/>
      <c r="CM226" s="479"/>
      <c r="CN226" s="479"/>
      <c r="CO226" s="479"/>
      <c r="CP226" s="479"/>
      <c r="CQ226" s="479"/>
      <c r="CR226" s="479"/>
      <c r="CS226" s="479"/>
    </row>
    <row r="227" spans="70:97" ht="15" customHeight="1" x14ac:dyDescent="0.35">
      <c r="BS227" s="82" t="s">
        <v>25</v>
      </c>
      <c r="BT227" s="82"/>
      <c r="BU227" s="82"/>
    </row>
    <row r="228" spans="70:97" ht="28" customHeight="1" x14ac:dyDescent="0.35">
      <c r="BS228" s="400"/>
      <c r="BT228" s="338" t="s">
        <v>26</v>
      </c>
      <c r="BU228" s="338" t="s">
        <v>2</v>
      </c>
      <c r="BV228" s="338" t="s">
        <v>22</v>
      </c>
      <c r="BW228" s="338" t="s">
        <v>27</v>
      </c>
      <c r="BX228" s="338" t="s">
        <v>28</v>
      </c>
      <c r="BY228" s="338" t="s">
        <v>29</v>
      </c>
      <c r="BZ228" s="338" t="s">
        <v>30</v>
      </c>
      <c r="CA228" s="338" t="s">
        <v>31</v>
      </c>
      <c r="CB228" s="338" t="s">
        <v>32</v>
      </c>
      <c r="CC228" s="338" t="s">
        <v>33</v>
      </c>
      <c r="CD228" s="338" t="s">
        <v>34</v>
      </c>
      <c r="CE228" s="338" t="s">
        <v>35</v>
      </c>
      <c r="CF228" s="338" t="s">
        <v>36</v>
      </c>
      <c r="CG228" s="338" t="s">
        <v>37</v>
      </c>
      <c r="CH228" s="338" t="s">
        <v>38</v>
      </c>
      <c r="CI228" s="338" t="s">
        <v>39</v>
      </c>
      <c r="CJ228" s="338" t="s">
        <v>40</v>
      </c>
      <c r="CK228" s="338" t="s">
        <v>41</v>
      </c>
      <c r="CL228" s="338" t="s">
        <v>42</v>
      </c>
      <c r="CM228" s="338" t="s">
        <v>43</v>
      </c>
      <c r="CN228" s="338" t="s">
        <v>44</v>
      </c>
      <c r="CO228" s="338" t="s">
        <v>45</v>
      </c>
      <c r="CP228" s="338" t="s">
        <v>46</v>
      </c>
      <c r="CQ228" s="338" t="s">
        <v>47</v>
      </c>
      <c r="CR228" s="338" t="s">
        <v>48</v>
      </c>
      <c r="CS228" s="338" t="s">
        <v>49</v>
      </c>
    </row>
    <row r="229" spans="70:97" ht="25" customHeight="1" x14ac:dyDescent="0.35">
      <c r="BR229" s="126" t="s">
        <v>154</v>
      </c>
      <c r="BS229" s="141" t="s">
        <v>144</v>
      </c>
      <c r="BT229" s="46">
        <f t="shared" ref="BT229:BU229" si="10">IFERROR(SUM(BT230:BT233),0)</f>
        <v>2239315</v>
      </c>
      <c r="BU229" s="46">
        <f t="shared" si="10"/>
        <v>1788676</v>
      </c>
      <c r="BV229" s="46">
        <f>IFERROR(SUM(BV230:BV233),0)</f>
        <v>2946514</v>
      </c>
      <c r="BW229" s="46">
        <f t="shared" ref="BW229:CS229" si="11">IFERROR(SUM(BW230:BW233),0)</f>
        <v>1500523</v>
      </c>
      <c r="BX229" s="46">
        <f t="shared" si="11"/>
        <v>2059070</v>
      </c>
      <c r="BY229" s="46">
        <f t="shared" si="11"/>
        <v>1827244</v>
      </c>
      <c r="BZ229" s="46">
        <f t="shared" si="11"/>
        <v>11253960</v>
      </c>
      <c r="CA229" s="46">
        <f t="shared" si="11"/>
        <v>4957907</v>
      </c>
      <c r="CB229" s="46">
        <f t="shared" si="11"/>
        <v>2370583</v>
      </c>
      <c r="CC229" s="46">
        <f t="shared" si="11"/>
        <v>2011234</v>
      </c>
      <c r="CD229" s="46">
        <f t="shared" si="11"/>
        <v>8504200</v>
      </c>
      <c r="CE229" s="46">
        <f t="shared" si="11"/>
        <v>2011189</v>
      </c>
      <c r="CF229" s="46">
        <f t="shared" si="11"/>
        <v>1878934</v>
      </c>
      <c r="CG229" s="46">
        <f t="shared" si="11"/>
        <v>2161971</v>
      </c>
      <c r="CH229" s="46">
        <f t="shared" si="11"/>
        <v>6869261</v>
      </c>
      <c r="CI229" s="46">
        <f t="shared" si="11"/>
        <v>1799292</v>
      </c>
      <c r="CJ229" s="46">
        <f t="shared" si="11"/>
        <v>353694</v>
      </c>
      <c r="CK229" s="46">
        <f t="shared" si="11"/>
        <v>1916813</v>
      </c>
      <c r="CL229" s="46">
        <f t="shared" si="11"/>
        <v>8000280</v>
      </c>
      <c r="CM229" s="46">
        <f t="shared" si="11"/>
        <v>1913077</v>
      </c>
      <c r="CN229" s="46">
        <f t="shared" si="11"/>
        <v>2590190</v>
      </c>
      <c r="CO229" s="46">
        <f t="shared" si="11"/>
        <v>1845329</v>
      </c>
      <c r="CP229" s="46">
        <f t="shared" si="11"/>
        <v>5695349</v>
      </c>
      <c r="CQ229" s="46">
        <f t="shared" si="11"/>
        <v>1474928</v>
      </c>
      <c r="CR229" s="46">
        <f t="shared" si="11"/>
        <v>1866048</v>
      </c>
      <c r="CS229" s="46">
        <f t="shared" si="11"/>
        <v>791121</v>
      </c>
    </row>
    <row r="230" spans="70:97" ht="20.149999999999999" customHeight="1" x14ac:dyDescent="0.35">
      <c r="BR230" s="126" t="s">
        <v>154</v>
      </c>
      <c r="BS230" s="142" t="s">
        <v>145</v>
      </c>
      <c r="BT230" s="76">
        <v>945444</v>
      </c>
      <c r="BU230" s="76">
        <v>978979</v>
      </c>
      <c r="BV230" s="76">
        <v>1875854</v>
      </c>
      <c r="BW230" s="76">
        <v>796742</v>
      </c>
      <c r="BX230" s="76">
        <v>1188281</v>
      </c>
      <c r="BY230" s="76">
        <v>1038740</v>
      </c>
      <c r="BZ230" s="76">
        <v>7119287</v>
      </c>
      <c r="CA230" s="76">
        <v>3280197</v>
      </c>
      <c r="CB230" s="76">
        <v>1688586</v>
      </c>
      <c r="CC230" s="76">
        <v>1152891</v>
      </c>
      <c r="CD230" s="76">
        <v>5766835</v>
      </c>
      <c r="CE230" s="76">
        <v>1237307</v>
      </c>
      <c r="CF230" s="76">
        <v>1245382</v>
      </c>
      <c r="CG230" s="76">
        <v>1398206</v>
      </c>
      <c r="CH230" s="76">
        <v>4094367</v>
      </c>
      <c r="CI230" s="76">
        <v>1182353</v>
      </c>
      <c r="CJ230" s="76">
        <v>49876</v>
      </c>
      <c r="CK230" s="76">
        <v>1455571</v>
      </c>
      <c r="CL230" s="76">
        <v>3752869</v>
      </c>
      <c r="CM230" s="76">
        <v>421477</v>
      </c>
      <c r="CN230" s="76">
        <v>1946639</v>
      </c>
      <c r="CO230" s="76">
        <v>422351</v>
      </c>
      <c r="CP230" s="76">
        <v>2865121</v>
      </c>
      <c r="CQ230" s="76">
        <v>579299</v>
      </c>
      <c r="CR230" s="76">
        <v>1081650</v>
      </c>
      <c r="CS230" s="76">
        <v>-68133</v>
      </c>
    </row>
    <row r="231" spans="70:97" ht="20.149999999999999" customHeight="1" x14ac:dyDescent="0.35">
      <c r="BR231" s="126" t="s">
        <v>154</v>
      </c>
      <c r="BS231" s="142" t="s">
        <v>821</v>
      </c>
      <c r="BT231" s="76">
        <v>87897</v>
      </c>
      <c r="BU231" s="76">
        <v>69952</v>
      </c>
      <c r="BV231" s="76">
        <v>356985</v>
      </c>
      <c r="BW231" s="76">
        <v>49787</v>
      </c>
      <c r="BX231" s="76">
        <v>189809</v>
      </c>
      <c r="BY231" s="76">
        <v>175026</v>
      </c>
      <c r="BZ231" s="76">
        <v>2237853</v>
      </c>
      <c r="CA231" s="76">
        <v>1270423</v>
      </c>
      <c r="CB231" s="76">
        <v>462337</v>
      </c>
      <c r="CC231" s="76">
        <v>348815</v>
      </c>
      <c r="CD231" s="76">
        <v>1084325</v>
      </c>
      <c r="CE231" s="76">
        <v>242337</v>
      </c>
      <c r="CF231" s="76">
        <v>370099</v>
      </c>
      <c r="CG231" s="76">
        <v>355185</v>
      </c>
      <c r="CH231" s="76">
        <v>26189</v>
      </c>
      <c r="CI231" s="76">
        <v>209871</v>
      </c>
      <c r="CJ231" s="76">
        <v>-855151</v>
      </c>
      <c r="CK231" s="76">
        <v>491496</v>
      </c>
      <c r="CL231" s="76">
        <v>945309</v>
      </c>
      <c r="CM231" s="76">
        <v>49710</v>
      </c>
      <c r="CN231" s="76">
        <v>880346</v>
      </c>
      <c r="CO231" s="76">
        <v>-80673</v>
      </c>
      <c r="CP231" s="76">
        <v>935716</v>
      </c>
      <c r="CQ231" s="76">
        <v>153921</v>
      </c>
      <c r="CR231" s="76">
        <v>503384</v>
      </c>
      <c r="CS231" s="76">
        <v>-110244</v>
      </c>
    </row>
    <row r="232" spans="70:97" ht="20.149999999999999" customHeight="1" x14ac:dyDescent="0.35">
      <c r="BR232" s="126" t="s">
        <v>154</v>
      </c>
      <c r="BS232" s="142" t="s">
        <v>146</v>
      </c>
      <c r="BT232" s="76">
        <v>795905</v>
      </c>
      <c r="BU232" s="76">
        <v>338424</v>
      </c>
      <c r="BV232" s="76">
        <v>290431</v>
      </c>
      <c r="BW232" s="32">
        <v>276062</v>
      </c>
      <c r="BX232" s="32">
        <v>312587</v>
      </c>
      <c r="BY232" s="32">
        <v>249631</v>
      </c>
      <c r="BZ232" s="32">
        <v>520792</v>
      </c>
      <c r="CA232" s="32">
        <v>61545</v>
      </c>
      <c r="CB232" s="32">
        <v>-118119</v>
      </c>
      <c r="CC232" s="32">
        <v>180986</v>
      </c>
      <c r="CD232" s="32">
        <v>378966</v>
      </c>
      <c r="CE232" s="32">
        <v>214852</v>
      </c>
      <c r="CF232" s="32">
        <v>-39810</v>
      </c>
      <c r="CG232" s="32">
        <v>105914</v>
      </c>
      <c r="CH232" s="32">
        <v>1566621</v>
      </c>
      <c r="CI232" s="32">
        <v>109461</v>
      </c>
      <c r="CJ232" s="32">
        <v>870949</v>
      </c>
      <c r="CK232" s="32">
        <v>-314163</v>
      </c>
      <c r="CL232" s="32">
        <v>2252993</v>
      </c>
      <c r="CM232" s="32">
        <v>1155490</v>
      </c>
      <c r="CN232" s="32">
        <v>-478528</v>
      </c>
      <c r="CO232" s="32">
        <v>1265220</v>
      </c>
      <c r="CP232" s="32">
        <v>905459</v>
      </c>
      <c r="CQ232" s="32">
        <v>496619</v>
      </c>
      <c r="CR232" s="32">
        <v>35317</v>
      </c>
      <c r="CS232" s="32">
        <v>726746</v>
      </c>
    </row>
    <row r="233" spans="70:97" ht="20.149999999999999" customHeight="1" thickBot="1" x14ac:dyDescent="0.4">
      <c r="BR233" s="126" t="s">
        <v>154</v>
      </c>
      <c r="BS233" s="41" t="s">
        <v>79</v>
      </c>
      <c r="BT233" s="113">
        <v>410069</v>
      </c>
      <c r="BU233" s="113">
        <v>401321</v>
      </c>
      <c r="BV233" s="113">
        <v>423244</v>
      </c>
      <c r="BW233" s="107">
        <v>377932</v>
      </c>
      <c r="BX233" s="107">
        <v>368393</v>
      </c>
      <c r="BY233" s="107">
        <v>363847</v>
      </c>
      <c r="BZ233" s="107">
        <v>1376028</v>
      </c>
      <c r="CA233" s="107">
        <v>345742</v>
      </c>
      <c r="CB233" s="107">
        <v>337779</v>
      </c>
      <c r="CC233" s="107">
        <v>328542</v>
      </c>
      <c r="CD233" s="107">
        <v>1274074</v>
      </c>
      <c r="CE233" s="107">
        <v>316693</v>
      </c>
      <c r="CF233" s="107">
        <v>303263</v>
      </c>
      <c r="CG233" s="107">
        <v>302666</v>
      </c>
      <c r="CH233" s="107">
        <v>1182084</v>
      </c>
      <c r="CI233" s="107">
        <v>297607</v>
      </c>
      <c r="CJ233" s="107">
        <v>288020</v>
      </c>
      <c r="CK233" s="107">
        <v>283909</v>
      </c>
      <c r="CL233" s="107">
        <v>1049109</v>
      </c>
      <c r="CM233" s="107">
        <v>286400</v>
      </c>
      <c r="CN233" s="107">
        <v>241733</v>
      </c>
      <c r="CO233" s="107">
        <v>238431</v>
      </c>
      <c r="CP233" s="107">
        <v>989053</v>
      </c>
      <c r="CQ233" s="107">
        <v>245089</v>
      </c>
      <c r="CR233" s="107">
        <v>245697</v>
      </c>
      <c r="CS233" s="107">
        <v>242752</v>
      </c>
    </row>
    <row r="234" spans="70:97" ht="28" customHeight="1" x14ac:dyDescent="0.35">
      <c r="BR234" s="126" t="s">
        <v>154</v>
      </c>
      <c r="BS234" s="196"/>
      <c r="BT234" s="196"/>
      <c r="BU234" s="196"/>
      <c r="BV234" s="197"/>
      <c r="BW234" s="197"/>
      <c r="BX234" s="197"/>
      <c r="BY234" s="197"/>
      <c r="BZ234" s="197"/>
      <c r="CA234" s="197"/>
      <c r="CB234" s="197"/>
      <c r="CC234" s="197"/>
      <c r="CD234" s="197"/>
      <c r="CE234" s="197"/>
      <c r="CF234" s="197"/>
      <c r="CG234" s="197"/>
      <c r="CH234" s="197"/>
      <c r="CI234" s="197"/>
      <c r="CJ234" s="197"/>
      <c r="CK234" s="197"/>
      <c r="CL234" s="197"/>
      <c r="CM234" s="197"/>
      <c r="CN234" s="197"/>
      <c r="CO234" s="197"/>
      <c r="CP234" s="197"/>
      <c r="CQ234" s="197"/>
      <c r="CR234" s="197"/>
      <c r="CS234" s="197"/>
    </row>
    <row r="235" spans="70:97" ht="30" customHeight="1" x14ac:dyDescent="0.35">
      <c r="BR235" s="126"/>
    </row>
    <row r="236" spans="70:97" ht="40" customHeight="1" x14ac:dyDescent="0.35">
      <c r="BR236" s="126"/>
      <c r="BS236" s="479" t="s">
        <v>98</v>
      </c>
      <c r="BT236" s="479"/>
      <c r="BU236" s="479"/>
      <c r="BV236" s="479"/>
      <c r="BW236" s="479"/>
      <c r="BX236" s="479"/>
      <c r="BY236" s="479"/>
      <c r="BZ236" s="479"/>
      <c r="CA236" s="479"/>
      <c r="CB236" s="479"/>
      <c r="CC236" s="479"/>
      <c r="CD236" s="479"/>
      <c r="CE236" s="479"/>
      <c r="CF236" s="479"/>
      <c r="CG236" s="479"/>
      <c r="CH236" s="479"/>
      <c r="CI236" s="479"/>
      <c r="CJ236" s="479"/>
      <c r="CK236" s="479"/>
      <c r="CL236" s="479"/>
      <c r="CM236" s="479"/>
      <c r="CN236" s="479"/>
      <c r="CO236" s="479"/>
      <c r="CP236" s="479"/>
      <c r="CQ236" s="479"/>
      <c r="CR236" s="479"/>
      <c r="CS236" s="479"/>
    </row>
    <row r="237" spans="70:97" ht="15" customHeight="1" x14ac:dyDescent="0.35">
      <c r="BR237" s="126"/>
      <c r="BS237" s="82" t="s">
        <v>25</v>
      </c>
      <c r="BT237" s="82"/>
      <c r="BU237" s="82"/>
    </row>
    <row r="238" spans="70:97" ht="28" customHeight="1" x14ac:dyDescent="0.35">
      <c r="BR238" s="126"/>
      <c r="BS238" s="400"/>
      <c r="BT238" s="338" t="s">
        <v>26</v>
      </c>
      <c r="BU238" s="338" t="s">
        <v>2</v>
      </c>
      <c r="BV238" s="338" t="s">
        <v>22</v>
      </c>
      <c r="BW238" s="338" t="s">
        <v>27</v>
      </c>
      <c r="BX238" s="338" t="s">
        <v>28</v>
      </c>
      <c r="BY238" s="338" t="s">
        <v>29</v>
      </c>
      <c r="BZ238" s="338" t="s">
        <v>30</v>
      </c>
      <c r="CA238" s="338" t="s">
        <v>31</v>
      </c>
      <c r="CB238" s="338" t="s">
        <v>32</v>
      </c>
      <c r="CC238" s="338" t="s">
        <v>33</v>
      </c>
      <c r="CD238" s="338" t="s">
        <v>34</v>
      </c>
      <c r="CE238" s="338" t="s">
        <v>35</v>
      </c>
      <c r="CF238" s="338" t="s">
        <v>36</v>
      </c>
      <c r="CG238" s="338" t="s">
        <v>37</v>
      </c>
      <c r="CH238" s="338" t="s">
        <v>38</v>
      </c>
      <c r="CI238" s="338" t="s">
        <v>39</v>
      </c>
      <c r="CJ238" s="338" t="s">
        <v>40</v>
      </c>
      <c r="CK238" s="338" t="s">
        <v>41</v>
      </c>
      <c r="CL238" s="338" t="s">
        <v>42</v>
      </c>
      <c r="CM238" s="338" t="s">
        <v>43</v>
      </c>
      <c r="CN238" s="338" t="s">
        <v>44</v>
      </c>
      <c r="CO238" s="338" t="s">
        <v>45</v>
      </c>
      <c r="CP238" s="338" t="s">
        <v>46</v>
      </c>
      <c r="CQ238" s="338" t="s">
        <v>47</v>
      </c>
      <c r="CR238" s="338" t="s">
        <v>48</v>
      </c>
      <c r="CS238" s="338" t="s">
        <v>49</v>
      </c>
    </row>
    <row r="239" spans="70:97" ht="23.15" customHeight="1" x14ac:dyDescent="0.35">
      <c r="BR239" s="126"/>
      <c r="BS239" s="141" t="s">
        <v>144</v>
      </c>
      <c r="BT239" s="46">
        <f t="shared" ref="BT239:BU239" si="12">IFERROR(SUM(BT240:BT243),0)</f>
        <v>1476750</v>
      </c>
      <c r="BU239" s="46">
        <f t="shared" si="12"/>
        <v>1010396</v>
      </c>
      <c r="BV239" s="46">
        <f>IFERROR(SUM(BV240:BV243),0)</f>
        <v>1700050</v>
      </c>
      <c r="BW239" s="46">
        <f t="shared" ref="BW239" si="13">IFERROR(SUM(BW240:BW243),0)</f>
        <v>758477</v>
      </c>
      <c r="BX239" s="46">
        <f t="shared" ref="BX239" si="14">IFERROR(SUM(BX240:BX243),0)</f>
        <v>1240960</v>
      </c>
      <c r="BY239" s="46">
        <f t="shared" ref="BY239" si="15">IFERROR(SUM(BY240:BY243),0)</f>
        <v>819352</v>
      </c>
      <c r="BZ239" s="46">
        <f t="shared" ref="BZ239" si="16">IFERROR(SUM(BZ240:BZ243),0)</f>
        <v>957774</v>
      </c>
      <c r="CA239" s="46">
        <f t="shared" ref="CA239" si="17">IFERROR(SUM(CA240:CA243),0)</f>
        <v>773388</v>
      </c>
      <c r="CB239" s="46">
        <f t="shared" ref="CB239" si="18">IFERROR(SUM(CB240:CB243),0)</f>
        <v>1329254</v>
      </c>
      <c r="CC239" s="46">
        <f t="shared" ref="CC239" si="19">IFERROR(SUM(CC240:CC243),0)</f>
        <v>746490</v>
      </c>
      <c r="CD239" s="46">
        <f t="shared" ref="CD239" si="20">IFERROR(SUM(CD240:CD243),0)</f>
        <v>804592</v>
      </c>
      <c r="CE239" s="46">
        <f t="shared" ref="CE239" si="21">IFERROR(SUM(CE240:CE243),0)</f>
        <v>835588</v>
      </c>
      <c r="CF239" s="46">
        <f t="shared" ref="CF239" si="22">IFERROR(SUM(CF240:CF243),0)</f>
        <v>688323</v>
      </c>
      <c r="CG239" s="46">
        <f t="shared" ref="CG239" si="23">IFERROR(SUM(CG240:CG243),0)</f>
        <v>775088</v>
      </c>
      <c r="CH239" s="46">
        <f t="shared" ref="CH239" si="24">IFERROR(SUM(CH240:CH243),0)</f>
        <v>1630089</v>
      </c>
      <c r="CI239" s="46">
        <f t="shared" ref="CI239" si="25">IFERROR(SUM(CI240:CI243),0)</f>
        <v>858979</v>
      </c>
      <c r="CJ239" s="46">
        <f t="shared" ref="CJ239" si="26">IFERROR(SUM(CJ240:CJ243),0)</f>
        <v>-913416</v>
      </c>
      <c r="CK239" s="46">
        <f t="shared" ref="CK239" si="27">IFERROR(SUM(CK240:CK243),0)</f>
        <v>654529</v>
      </c>
      <c r="CL239" s="46">
        <f t="shared" ref="CL239" si="28">IFERROR(SUM(CL240:CL243),0)</f>
        <v>986984</v>
      </c>
      <c r="CM239" s="46">
        <f t="shared" ref="CM239" si="29">IFERROR(SUM(CM240:CM243),0)</f>
        <v>722661</v>
      </c>
      <c r="CN239" s="46">
        <f t="shared" ref="CN239" si="30">IFERROR(SUM(CN240:CN243),0)</f>
        <v>590583</v>
      </c>
      <c r="CO239" s="46">
        <f t="shared" ref="CO239" si="31">IFERROR(SUM(CO240:CO243),0)</f>
        <v>745303</v>
      </c>
      <c r="CP239" s="46">
        <f t="shared" ref="CP239" si="32">IFERROR(SUM(CP240:CP243),0)</f>
        <v>463105</v>
      </c>
      <c r="CQ239" s="46">
        <f t="shared" ref="CQ239" si="33">IFERROR(SUM(CQ240:CQ243),0)</f>
        <v>802796</v>
      </c>
      <c r="CR239" s="46">
        <f t="shared" ref="CR239" si="34">IFERROR(SUM(CR240:CR243),0)</f>
        <v>530696</v>
      </c>
      <c r="CS239" s="46">
        <f t="shared" ref="CS239" si="35">IFERROR(SUM(CS240:CS243),0)</f>
        <v>494716</v>
      </c>
    </row>
    <row r="240" spans="70:97" ht="20.149999999999999" customHeight="1" x14ac:dyDescent="0.35">
      <c r="BR240" s="126"/>
      <c r="BS240" s="142" t="s">
        <v>145</v>
      </c>
      <c r="BT240" s="76">
        <v>483134</v>
      </c>
      <c r="BU240" s="76">
        <v>397653</v>
      </c>
      <c r="BV240" s="76">
        <v>977362</v>
      </c>
      <c r="BW240" s="76">
        <v>282099</v>
      </c>
      <c r="BX240" s="76">
        <v>550554</v>
      </c>
      <c r="BY240" s="76">
        <v>311158</v>
      </c>
      <c r="BZ240" s="76">
        <v>451758</v>
      </c>
      <c r="CA240" s="76">
        <v>371723</v>
      </c>
      <c r="CB240" s="76">
        <v>1060436</v>
      </c>
      <c r="CC240" s="76">
        <v>322338</v>
      </c>
      <c r="CD240" s="76">
        <v>400564</v>
      </c>
      <c r="CE240" s="76">
        <v>475927</v>
      </c>
      <c r="CF240" s="76">
        <v>365439</v>
      </c>
      <c r="CG240" s="76">
        <v>369530</v>
      </c>
      <c r="CH240" s="76">
        <v>460898</v>
      </c>
      <c r="CI240" s="76">
        <v>506928</v>
      </c>
      <c r="CJ240" s="76">
        <v>-900278</v>
      </c>
      <c r="CK240" s="76">
        <v>375927</v>
      </c>
      <c r="CL240" s="76">
        <v>560774</v>
      </c>
      <c r="CM240" s="76">
        <v>399974</v>
      </c>
      <c r="CN240" s="76">
        <v>347641</v>
      </c>
      <c r="CO240" s="76">
        <v>392152</v>
      </c>
      <c r="CP240" s="76">
        <v>263791</v>
      </c>
      <c r="CQ240" s="76">
        <v>458373</v>
      </c>
      <c r="CR240" s="76">
        <v>282801</v>
      </c>
      <c r="CS240" s="76">
        <v>196589</v>
      </c>
    </row>
    <row r="241" spans="70:97" ht="20.149999999999999" customHeight="1" x14ac:dyDescent="0.35">
      <c r="BR241" s="126"/>
      <c r="BS241" s="142" t="s">
        <v>821</v>
      </c>
      <c r="BT241" s="76">
        <v>103627</v>
      </c>
      <c r="BU241" s="76">
        <v>54435</v>
      </c>
      <c r="BV241" s="76">
        <v>213926</v>
      </c>
      <c r="BW241" s="76">
        <v>5915</v>
      </c>
      <c r="BX241" s="76">
        <v>147390</v>
      </c>
      <c r="BY241" s="76">
        <v>58607</v>
      </c>
      <c r="BZ241" s="76">
        <v>116608</v>
      </c>
      <c r="CA241" s="76">
        <v>95972</v>
      </c>
      <c r="CB241" s="76">
        <v>350163</v>
      </c>
      <c r="CC241" s="76">
        <v>99173</v>
      </c>
      <c r="CD241" s="76">
        <v>93631</v>
      </c>
      <c r="CE241" s="76">
        <v>54973</v>
      </c>
      <c r="CF241" s="76">
        <v>137575</v>
      </c>
      <c r="CG241" s="76">
        <v>118970</v>
      </c>
      <c r="CH241" s="76">
        <v>154543</v>
      </c>
      <c r="CI241" s="76">
        <v>175269</v>
      </c>
      <c r="CJ241" s="76">
        <v>-524406</v>
      </c>
      <c r="CK241" s="76">
        <v>128030</v>
      </c>
      <c r="CL241" s="76">
        <v>223938</v>
      </c>
      <c r="CM241" s="76">
        <v>154503</v>
      </c>
      <c r="CN241" s="76">
        <v>126983</v>
      </c>
      <c r="CO241" s="76">
        <v>149439</v>
      </c>
      <c r="CP241" s="76">
        <v>8215</v>
      </c>
      <c r="CQ241" s="76">
        <v>180554</v>
      </c>
      <c r="CR241" s="76">
        <v>140915</v>
      </c>
      <c r="CS241" s="76">
        <v>100629</v>
      </c>
    </row>
    <row r="242" spans="70:97" ht="20.149999999999999" customHeight="1" x14ac:dyDescent="0.35">
      <c r="BR242" s="126"/>
      <c r="BS242" s="142" t="s">
        <v>146</v>
      </c>
      <c r="BT242" s="76">
        <v>608194</v>
      </c>
      <c r="BU242" s="76">
        <v>283611</v>
      </c>
      <c r="BV242" s="76">
        <v>218302</v>
      </c>
      <c r="BW242" s="32">
        <v>208460</v>
      </c>
      <c r="BX242" s="32">
        <v>288643</v>
      </c>
      <c r="BY242" s="32">
        <v>202096</v>
      </c>
      <c r="BZ242" s="32">
        <v>137897</v>
      </c>
      <c r="CA242" s="32">
        <v>75596</v>
      </c>
      <c r="CB242" s="32">
        <v>-305458</v>
      </c>
      <c r="CC242" s="32">
        <v>108780</v>
      </c>
      <c r="CD242" s="32">
        <v>72913</v>
      </c>
      <c r="CE242" s="32">
        <v>99429</v>
      </c>
      <c r="CF242" s="32">
        <v>-11565</v>
      </c>
      <c r="CG242" s="32">
        <v>92348</v>
      </c>
      <c r="CH242" s="32">
        <v>819126</v>
      </c>
      <c r="CI242" s="32">
        <v>-11465</v>
      </c>
      <c r="CJ242" s="32">
        <v>332387</v>
      </c>
      <c r="CK242" s="32">
        <v>-24803</v>
      </c>
      <c r="CL242" s="32">
        <v>20596</v>
      </c>
      <c r="CM242" s="32">
        <v>-2606</v>
      </c>
      <c r="CN242" s="32">
        <v>-49913</v>
      </c>
      <c r="CO242" s="32">
        <v>39455</v>
      </c>
      <c r="CP242" s="32">
        <v>19035</v>
      </c>
      <c r="CQ242" s="32">
        <v>-3348</v>
      </c>
      <c r="CR242" s="32">
        <v>-59071</v>
      </c>
      <c r="CS242" s="32">
        <v>34416</v>
      </c>
    </row>
    <row r="243" spans="70:97" ht="20.149999999999999" customHeight="1" thickBot="1" x14ac:dyDescent="0.4">
      <c r="BR243" s="126"/>
      <c r="BS243" s="142" t="s">
        <v>79</v>
      </c>
      <c r="BT243" s="76">
        <v>281795</v>
      </c>
      <c r="BU243" s="76">
        <v>274697</v>
      </c>
      <c r="BV243" s="76">
        <v>290460</v>
      </c>
      <c r="BW243" s="32">
        <v>262003</v>
      </c>
      <c r="BX243" s="32">
        <v>254373</v>
      </c>
      <c r="BY243" s="32">
        <v>247491</v>
      </c>
      <c r="BZ243" s="32">
        <v>251511</v>
      </c>
      <c r="CA243" s="32">
        <v>230097</v>
      </c>
      <c r="CB243" s="32">
        <v>224113</v>
      </c>
      <c r="CC243" s="32">
        <v>216199</v>
      </c>
      <c r="CD243" s="32">
        <v>237484</v>
      </c>
      <c r="CE243" s="32">
        <v>205259</v>
      </c>
      <c r="CF243" s="32">
        <v>196874</v>
      </c>
      <c r="CG243" s="32">
        <v>194240</v>
      </c>
      <c r="CH243" s="32">
        <v>195522</v>
      </c>
      <c r="CI243" s="32">
        <v>188247</v>
      </c>
      <c r="CJ243" s="32">
        <v>178881</v>
      </c>
      <c r="CK243" s="32">
        <v>175375</v>
      </c>
      <c r="CL243" s="32">
        <v>181676</v>
      </c>
      <c r="CM243" s="32">
        <v>170790</v>
      </c>
      <c r="CN243" s="32">
        <v>165872</v>
      </c>
      <c r="CO243" s="32">
        <v>164257</v>
      </c>
      <c r="CP243" s="32">
        <v>172064</v>
      </c>
      <c r="CQ243" s="32">
        <v>167217</v>
      </c>
      <c r="CR243" s="32">
        <v>166051</v>
      </c>
      <c r="CS243" s="32">
        <v>163082</v>
      </c>
    </row>
    <row r="244" spans="70:97" ht="28" customHeight="1" x14ac:dyDescent="0.35">
      <c r="BR244" s="126"/>
      <c r="BS244" s="196"/>
      <c r="BT244" s="196"/>
      <c r="BU244" s="196"/>
      <c r="BV244" s="197"/>
      <c r="BW244" s="197"/>
      <c r="BX244" s="197"/>
      <c r="BY244" s="197"/>
      <c r="BZ244" s="197"/>
      <c r="CA244" s="197"/>
      <c r="CB244" s="197"/>
      <c r="CC244" s="197"/>
      <c r="CD244" s="197"/>
      <c r="CE244" s="197"/>
      <c r="CF244" s="197"/>
      <c r="CG244" s="197"/>
      <c r="CH244" s="197"/>
      <c r="CI244" s="197"/>
      <c r="CJ244" s="197"/>
      <c r="CK244" s="197"/>
      <c r="CL244" s="197"/>
      <c r="CM244" s="197"/>
      <c r="CN244" s="197"/>
      <c r="CO244" s="197"/>
      <c r="CP244" s="197"/>
      <c r="CQ244" s="197"/>
      <c r="CR244" s="197"/>
      <c r="CS244" s="197"/>
    </row>
    <row r="245" spans="70:97" ht="30" customHeight="1" x14ac:dyDescent="0.35">
      <c r="BR245" s="126" t="s">
        <v>154</v>
      </c>
    </row>
    <row r="246" spans="70:97" ht="40" customHeight="1" x14ac:dyDescent="0.35">
      <c r="BR246" s="126" t="s">
        <v>154</v>
      </c>
      <c r="BS246" s="479" t="s">
        <v>117</v>
      </c>
      <c r="BT246" s="479"/>
      <c r="BU246" s="479"/>
      <c r="BV246" s="479"/>
      <c r="BW246" s="479"/>
      <c r="BX246" s="479"/>
      <c r="BY246" s="479"/>
      <c r="BZ246" s="479"/>
      <c r="CA246" s="479"/>
      <c r="CB246" s="479"/>
      <c r="CC246" s="479"/>
      <c r="CD246" s="479"/>
      <c r="CE246" s="479"/>
      <c r="CF246" s="479"/>
      <c r="CG246" s="479"/>
      <c r="CH246" s="479"/>
      <c r="CI246" s="479"/>
      <c r="CJ246" s="479"/>
      <c r="CK246" s="479"/>
      <c r="CL246" s="479"/>
      <c r="CM246" s="479"/>
      <c r="CN246" s="479"/>
      <c r="CO246" s="479"/>
      <c r="CP246" s="479"/>
      <c r="CQ246" s="479"/>
      <c r="CR246" s="479"/>
      <c r="CS246" s="479"/>
    </row>
    <row r="247" spans="70:97" ht="15" customHeight="1" x14ac:dyDescent="0.35">
      <c r="BR247" s="126" t="s">
        <v>154</v>
      </c>
      <c r="BS247" s="82" t="s">
        <v>25</v>
      </c>
      <c r="BT247" s="82"/>
      <c r="BU247" s="82"/>
    </row>
    <row r="248" spans="70:97" ht="28" customHeight="1" x14ac:dyDescent="0.35">
      <c r="BR248" s="126" t="s">
        <v>154</v>
      </c>
      <c r="BS248" s="400"/>
      <c r="BT248" s="338" t="s">
        <v>26</v>
      </c>
      <c r="BU248" s="338" t="s">
        <v>2</v>
      </c>
      <c r="BV248" s="338" t="s">
        <v>22</v>
      </c>
      <c r="BW248" s="338" t="s">
        <v>27</v>
      </c>
      <c r="BX248" s="338" t="s">
        <v>28</v>
      </c>
      <c r="BY248" s="338" t="s">
        <v>29</v>
      </c>
      <c r="BZ248" s="338" t="s">
        <v>30</v>
      </c>
      <c r="CA248" s="338" t="s">
        <v>31</v>
      </c>
      <c r="CB248" s="338" t="s">
        <v>32</v>
      </c>
      <c r="CC248" s="338" t="s">
        <v>33</v>
      </c>
      <c r="CD248" s="338" t="s">
        <v>34</v>
      </c>
      <c r="CE248" s="338" t="s">
        <v>35</v>
      </c>
      <c r="CF248" s="338" t="s">
        <v>36</v>
      </c>
      <c r="CG248" s="338" t="s">
        <v>37</v>
      </c>
      <c r="CH248" s="338" t="s">
        <v>38</v>
      </c>
      <c r="CI248" s="338" t="s">
        <v>39</v>
      </c>
      <c r="CJ248" s="338" t="s">
        <v>40</v>
      </c>
      <c r="CK248" s="338" t="s">
        <v>41</v>
      </c>
      <c r="CL248" s="338" t="s">
        <v>42</v>
      </c>
      <c r="CM248" s="338" t="s">
        <v>43</v>
      </c>
      <c r="CN248" s="338" t="s">
        <v>44</v>
      </c>
      <c r="CO248" s="338" t="s">
        <v>45</v>
      </c>
      <c r="CP248" s="338" t="s">
        <v>46</v>
      </c>
      <c r="CQ248" s="338" t="s">
        <v>47</v>
      </c>
      <c r="CR248" s="338" t="s">
        <v>48</v>
      </c>
      <c r="CS248" s="338" t="s">
        <v>49</v>
      </c>
    </row>
    <row r="249" spans="70:97" ht="25" customHeight="1" x14ac:dyDescent="0.35">
      <c r="BR249" s="126" t="s">
        <v>154</v>
      </c>
      <c r="BS249" s="141" t="s">
        <v>144</v>
      </c>
      <c r="BT249" s="46">
        <f>IFERROR(SUM(BT250:BT253),0)</f>
        <v>479741</v>
      </c>
      <c r="BU249" s="46">
        <f>IFERROR(SUM(BU250:BU253),0)</f>
        <v>575648</v>
      </c>
      <c r="BV249" s="46">
        <f>IFERROR(SUM(BV250:BV253),0)</f>
        <v>802899</v>
      </c>
      <c r="BW249" s="46">
        <f t="shared" ref="BW249:CS249" si="36">IFERROR(SUM(BW250:BW253),0)</f>
        <v>529666</v>
      </c>
      <c r="BX249" s="46">
        <f t="shared" si="36"/>
        <v>415090</v>
      </c>
      <c r="BY249" s="46">
        <f t="shared" si="36"/>
        <v>749320</v>
      </c>
      <c r="BZ249" s="46">
        <f t="shared" si="36"/>
        <v>527524</v>
      </c>
      <c r="CA249" s="46">
        <f t="shared" si="36"/>
        <v>3797877</v>
      </c>
      <c r="CB249" s="46">
        <f t="shared" si="36"/>
        <v>641413</v>
      </c>
      <c r="CC249" s="46">
        <f t="shared" si="36"/>
        <v>800893</v>
      </c>
      <c r="CD249" s="46">
        <f t="shared" si="36"/>
        <v>1172749</v>
      </c>
      <c r="CE249" s="46">
        <f t="shared" si="36"/>
        <v>790747</v>
      </c>
      <c r="CF249" s="46">
        <f t="shared" si="36"/>
        <v>629067</v>
      </c>
      <c r="CG249" s="46">
        <f t="shared" si="36"/>
        <v>818897</v>
      </c>
      <c r="CH249" s="46">
        <f t="shared" si="36"/>
        <v>700528</v>
      </c>
      <c r="CI249" s="46">
        <f t="shared" si="36"/>
        <v>501153</v>
      </c>
      <c r="CJ249" s="46">
        <f t="shared" si="36"/>
        <v>862801</v>
      </c>
      <c r="CK249" s="46">
        <f t="shared" si="36"/>
        <v>944545</v>
      </c>
      <c r="CL249" s="46">
        <f t="shared" si="36"/>
        <v>298315</v>
      </c>
      <c r="CM249" s="46">
        <f t="shared" si="36"/>
        <v>799022</v>
      </c>
      <c r="CN249" s="46">
        <f t="shared" si="36"/>
        <v>1698850</v>
      </c>
      <c r="CO249" s="46">
        <f t="shared" si="36"/>
        <v>745602</v>
      </c>
      <c r="CP249" s="46">
        <f t="shared" si="36"/>
        <v>507875</v>
      </c>
      <c r="CQ249" s="46">
        <f t="shared" si="36"/>
        <v>590100</v>
      </c>
      <c r="CR249" s="46">
        <f t="shared" si="36"/>
        <v>798941</v>
      </c>
      <c r="CS249" s="46">
        <f t="shared" si="36"/>
        <v>688087</v>
      </c>
    </row>
    <row r="250" spans="70:97" ht="20.149999999999999" customHeight="1" x14ac:dyDescent="0.35">
      <c r="BR250" s="126" t="s">
        <v>154</v>
      </c>
      <c r="BS250" s="142" t="s">
        <v>145</v>
      </c>
      <c r="BT250" s="76">
        <v>269590</v>
      </c>
      <c r="BU250" s="76">
        <v>392720</v>
      </c>
      <c r="BV250" s="76">
        <v>547365</v>
      </c>
      <c r="BW250" s="76">
        <v>386500</v>
      </c>
      <c r="BX250" s="76">
        <v>342120</v>
      </c>
      <c r="BY250" s="76">
        <v>541277</v>
      </c>
      <c r="BZ250" s="76">
        <v>241207</v>
      </c>
      <c r="CA250" s="76">
        <v>2629377</v>
      </c>
      <c r="CB250" s="76">
        <v>327923</v>
      </c>
      <c r="CC250" s="76">
        <v>493806</v>
      </c>
      <c r="CD250" s="76">
        <v>843663</v>
      </c>
      <c r="CE250" s="76">
        <v>490014</v>
      </c>
      <c r="CF250" s="76">
        <v>459486</v>
      </c>
      <c r="CG250" s="76">
        <v>609503</v>
      </c>
      <c r="CH250" s="76">
        <v>430810</v>
      </c>
      <c r="CI250" s="76">
        <v>251242</v>
      </c>
      <c r="CJ250" s="76">
        <v>589890</v>
      </c>
      <c r="CK250" s="76">
        <v>813514</v>
      </c>
      <c r="CL250" s="76">
        <v>-50863</v>
      </c>
      <c r="CM250" s="76">
        <v>-210659</v>
      </c>
      <c r="CN250" s="76">
        <v>1444329</v>
      </c>
      <c r="CO250" s="76">
        <v>-311373</v>
      </c>
      <c r="CP250" s="76">
        <v>627264</v>
      </c>
      <c r="CQ250" s="76">
        <v>36928</v>
      </c>
      <c r="CR250" s="76">
        <v>406667</v>
      </c>
      <c r="CS250" s="76">
        <v>-15324</v>
      </c>
    </row>
    <row r="251" spans="70:97" ht="20.149999999999999" customHeight="1" x14ac:dyDescent="0.35">
      <c r="BR251" s="126" t="s">
        <v>154</v>
      </c>
      <c r="BS251" s="142" t="s">
        <v>821</v>
      </c>
      <c r="BT251" s="76">
        <v>-7611</v>
      </c>
      <c r="BU251" s="76">
        <v>36901</v>
      </c>
      <c r="BV251" s="76">
        <v>110787</v>
      </c>
      <c r="BW251" s="76">
        <v>33736</v>
      </c>
      <c r="BX251" s="76">
        <v>-18138</v>
      </c>
      <c r="BY251" s="76">
        <v>108265</v>
      </c>
      <c r="BZ251" s="76">
        <v>-17649</v>
      </c>
      <c r="CA251" s="76">
        <v>1121089</v>
      </c>
      <c r="CB251" s="76">
        <v>39457</v>
      </c>
      <c r="CC251" s="76">
        <v>154743</v>
      </c>
      <c r="CD251" s="76">
        <v>233250</v>
      </c>
      <c r="CE251" s="76">
        <v>112636</v>
      </c>
      <c r="CF251" s="76">
        <v>104269</v>
      </c>
      <c r="CG251" s="76">
        <v>134061</v>
      </c>
      <c r="CH251" s="76">
        <v>95462</v>
      </c>
      <c r="CI251" s="76">
        <v>20548</v>
      </c>
      <c r="CJ251" s="76">
        <v>-344152</v>
      </c>
      <c r="CK251" s="76">
        <v>346035</v>
      </c>
      <c r="CL251" s="76">
        <v>22895</v>
      </c>
      <c r="CM251" s="76">
        <v>-218136</v>
      </c>
      <c r="CN251" s="76">
        <v>633579</v>
      </c>
      <c r="CO251" s="76">
        <v>-188147</v>
      </c>
      <c r="CP251" s="76">
        <v>249180</v>
      </c>
      <c r="CQ251" s="76">
        <v>6810</v>
      </c>
      <c r="CR251" s="76">
        <v>206836</v>
      </c>
      <c r="CS251" s="76">
        <v>-38701</v>
      </c>
    </row>
    <row r="252" spans="70:97" ht="20.149999999999999" customHeight="1" x14ac:dyDescent="0.35">
      <c r="BR252" s="126" t="s">
        <v>154</v>
      </c>
      <c r="BS252" s="142" t="s">
        <v>146</v>
      </c>
      <c r="BT252" s="76">
        <v>119860</v>
      </c>
      <c r="BU252" s="76">
        <v>51522</v>
      </c>
      <c r="BV252" s="76">
        <v>33825</v>
      </c>
      <c r="BW252" s="32">
        <v>27282</v>
      </c>
      <c r="BX252" s="32">
        <v>8834</v>
      </c>
      <c r="BY252" s="32">
        <v>15554</v>
      </c>
      <c r="BZ252" s="32">
        <v>221649</v>
      </c>
      <c r="CA252" s="32">
        <v>-36376</v>
      </c>
      <c r="CB252" s="32">
        <v>190360</v>
      </c>
      <c r="CC252" s="32">
        <v>68752</v>
      </c>
      <c r="CD252" s="32">
        <v>9151</v>
      </c>
      <c r="CE252" s="32">
        <v>107267</v>
      </c>
      <c r="CF252" s="32">
        <v>-14769</v>
      </c>
      <c r="CG252" s="32">
        <v>-5812</v>
      </c>
      <c r="CH252" s="32">
        <v>92341</v>
      </c>
      <c r="CI252" s="32">
        <v>147075</v>
      </c>
      <c r="CJ252" s="32">
        <v>534756</v>
      </c>
      <c r="CK252" s="32">
        <v>-296881</v>
      </c>
      <c r="CL252" s="32">
        <v>249358</v>
      </c>
      <c r="CM252" s="32">
        <v>1142300</v>
      </c>
      <c r="CN252" s="32">
        <v>-428195</v>
      </c>
      <c r="CO252" s="32">
        <v>1197247</v>
      </c>
      <c r="CP252" s="32">
        <v>-425025</v>
      </c>
      <c r="CQ252" s="32">
        <v>495479</v>
      </c>
      <c r="CR252" s="32">
        <v>133702</v>
      </c>
      <c r="CS252" s="32">
        <v>689673</v>
      </c>
    </row>
    <row r="253" spans="70:97" ht="20.149999999999999" customHeight="1" thickBot="1" x14ac:dyDescent="0.4">
      <c r="BR253" s="126" t="s">
        <v>154</v>
      </c>
      <c r="BS253" s="142" t="s">
        <v>79</v>
      </c>
      <c r="BT253" s="76">
        <v>97902</v>
      </c>
      <c r="BU253" s="76">
        <v>94505</v>
      </c>
      <c r="BV253" s="76">
        <v>110922</v>
      </c>
      <c r="BW253" s="32">
        <v>82148</v>
      </c>
      <c r="BX253" s="32">
        <v>82274</v>
      </c>
      <c r="BY253" s="32">
        <v>84224</v>
      </c>
      <c r="BZ253" s="32">
        <v>82317</v>
      </c>
      <c r="CA253" s="32">
        <v>83787</v>
      </c>
      <c r="CB253" s="32">
        <v>83673</v>
      </c>
      <c r="CC253" s="32">
        <v>83592</v>
      </c>
      <c r="CD253" s="32">
        <v>86685</v>
      </c>
      <c r="CE253" s="32">
        <v>80830</v>
      </c>
      <c r="CF253" s="32">
        <v>80081</v>
      </c>
      <c r="CG253" s="32">
        <v>81145</v>
      </c>
      <c r="CH253" s="32">
        <v>81915</v>
      </c>
      <c r="CI253" s="32">
        <v>82288</v>
      </c>
      <c r="CJ253" s="32">
        <v>82307</v>
      </c>
      <c r="CK253" s="32">
        <v>81877</v>
      </c>
      <c r="CL253" s="32">
        <v>76925</v>
      </c>
      <c r="CM253" s="32">
        <v>85517</v>
      </c>
      <c r="CN253" s="32">
        <v>49137</v>
      </c>
      <c r="CO253" s="32">
        <v>47875</v>
      </c>
      <c r="CP253" s="32">
        <v>56456</v>
      </c>
      <c r="CQ253" s="32">
        <v>50883</v>
      </c>
      <c r="CR253" s="32">
        <v>51736</v>
      </c>
      <c r="CS253" s="32">
        <v>52439</v>
      </c>
    </row>
    <row r="254" spans="70:97" ht="28" customHeight="1" x14ac:dyDescent="0.35">
      <c r="BR254" s="126" t="s">
        <v>154</v>
      </c>
      <c r="BS254" s="196"/>
      <c r="BT254" s="196"/>
      <c r="BU254" s="196"/>
      <c r="BV254" s="197"/>
      <c r="BW254" s="197"/>
      <c r="BX254" s="197"/>
      <c r="BY254" s="197"/>
      <c r="BZ254" s="197"/>
      <c r="CA254" s="197"/>
      <c r="CB254" s="197"/>
      <c r="CC254" s="197"/>
      <c r="CD254" s="197"/>
      <c r="CE254" s="197"/>
      <c r="CF254" s="197"/>
      <c r="CG254" s="197"/>
      <c r="CH254" s="197"/>
      <c r="CI254" s="197"/>
      <c r="CJ254" s="197"/>
      <c r="CK254" s="197"/>
      <c r="CL254" s="197"/>
      <c r="CM254" s="197"/>
      <c r="CN254" s="197"/>
      <c r="CO254" s="197"/>
      <c r="CP254" s="197"/>
      <c r="CQ254" s="197"/>
      <c r="CR254" s="197"/>
      <c r="CS254" s="197"/>
    </row>
    <row r="906" spans="2:9" ht="45" customHeight="1" x14ac:dyDescent="0.35">
      <c r="B906" s="481" t="s">
        <v>135</v>
      </c>
      <c r="C906" s="481"/>
      <c r="D906" s="481"/>
      <c r="E906" s="152"/>
      <c r="F906" s="152"/>
      <c r="G906" s="152"/>
      <c r="H906" s="152"/>
      <c r="I906" s="152"/>
    </row>
    <row r="907" spans="2:9" ht="10" customHeight="1" x14ac:dyDescent="0.35">
      <c r="B907" s="29"/>
      <c r="C907" s="29"/>
      <c r="D907" s="29"/>
      <c r="E907" s="29"/>
      <c r="F907" s="29"/>
      <c r="G907" s="29"/>
      <c r="H907" s="134"/>
      <c r="I907" s="29"/>
    </row>
    <row r="908" spans="2:9" ht="40" customHeight="1" x14ac:dyDescent="0.35">
      <c r="B908" s="479" t="s">
        <v>98</v>
      </c>
      <c r="C908" s="479"/>
      <c r="D908" s="112"/>
      <c r="E908" s="111"/>
      <c r="F908" s="111"/>
      <c r="G908" s="111"/>
      <c r="H908" s="480"/>
      <c r="I908" s="480"/>
    </row>
    <row r="909" spans="2:9" ht="15" customHeight="1" x14ac:dyDescent="0.35">
      <c r="B909" s="83" t="s">
        <v>25</v>
      </c>
    </row>
    <row r="910" spans="2:9" ht="35.15" customHeight="1" x14ac:dyDescent="0.35">
      <c r="B910" s="168" t="s">
        <v>136</v>
      </c>
      <c r="C910" s="167" t="s">
        <v>26</v>
      </c>
      <c r="D910" s="167" t="s">
        <v>28</v>
      </c>
    </row>
    <row r="911" spans="2:9" ht="25" customHeight="1" x14ac:dyDescent="0.35">
      <c r="B911" s="141" t="s">
        <v>144</v>
      </c>
      <c r="C911" s="46">
        <f>SUM(C912:C915)</f>
        <v>1476750</v>
      </c>
      <c r="D911" s="46">
        <f t="shared" ref="D911" si="37">SUM(D912:D915)</f>
        <v>1240960</v>
      </c>
    </row>
    <row r="912" spans="2:9" ht="20.149999999999999" customHeight="1" x14ac:dyDescent="0.35">
      <c r="B912" s="142" t="s">
        <v>145</v>
      </c>
      <c r="C912" s="76">
        <v>483134</v>
      </c>
      <c r="D912" s="76">
        <v>550554</v>
      </c>
    </row>
    <row r="913" spans="2:4" ht="20.149999999999999" customHeight="1" x14ac:dyDescent="0.35">
      <c r="B913" s="142" t="s">
        <v>821</v>
      </c>
      <c r="C913" s="76">
        <v>103627</v>
      </c>
      <c r="D913" s="76">
        <v>147390</v>
      </c>
    </row>
    <row r="914" spans="2:4" ht="20.149999999999999" customHeight="1" x14ac:dyDescent="0.35">
      <c r="B914" s="142" t="s">
        <v>146</v>
      </c>
      <c r="C914" s="76">
        <v>608194</v>
      </c>
      <c r="D914" s="76">
        <v>288643</v>
      </c>
    </row>
    <row r="915" spans="2:4" ht="20.149999999999999" customHeight="1" x14ac:dyDescent="0.35">
      <c r="B915" s="142" t="s">
        <v>79</v>
      </c>
      <c r="C915" s="76">
        <v>281795</v>
      </c>
      <c r="D915" s="76">
        <v>254373</v>
      </c>
    </row>
    <row r="916" spans="2:4" ht="25" customHeight="1" x14ac:dyDescent="0.35">
      <c r="B916" s="141" t="s">
        <v>147</v>
      </c>
      <c r="C916" s="46">
        <f>SUM(C917:C918)</f>
        <v>31546</v>
      </c>
      <c r="D916" s="46">
        <f>SUM(D917:D918)</f>
        <v>4649</v>
      </c>
    </row>
    <row r="917" spans="2:4" ht="20.149999999999999" customHeight="1" x14ac:dyDescent="0.35">
      <c r="B917" s="142" t="s">
        <v>155</v>
      </c>
      <c r="C917" s="76">
        <v>31546</v>
      </c>
      <c r="D917" s="76">
        <v>20812</v>
      </c>
    </row>
    <row r="918" spans="2:4" ht="20.149999999999999" customHeight="1" x14ac:dyDescent="0.35">
      <c r="B918" s="142" t="s">
        <v>149</v>
      </c>
      <c r="C918" s="76">
        <v>0</v>
      </c>
      <c r="D918" s="76">
        <v>-16163</v>
      </c>
    </row>
    <row r="919" spans="2:4" ht="28" customHeight="1" x14ac:dyDescent="0.35">
      <c r="B919" s="39" t="s">
        <v>152</v>
      </c>
      <c r="C919" s="58">
        <f>SUM(C911,C916)</f>
        <v>1508296</v>
      </c>
      <c r="D919" s="58">
        <f>SUM(D911,D916)</f>
        <v>1245609</v>
      </c>
    </row>
    <row r="920" spans="2:4" ht="25" customHeight="1" x14ac:dyDescent="0.35">
      <c r="B920" s="151" t="s">
        <v>156</v>
      </c>
      <c r="C920" s="109">
        <v>-79686</v>
      </c>
      <c r="D920" s="109">
        <v>-26618</v>
      </c>
    </row>
    <row r="921" spans="2:4" ht="28" customHeight="1" x14ac:dyDescent="0.35">
      <c r="B921" s="39" t="s">
        <v>157</v>
      </c>
      <c r="C921" s="58">
        <f>SUM(C919:C920)</f>
        <v>1428610</v>
      </c>
      <c r="D921" s="58">
        <f>SUM(D919:D920)</f>
        <v>1218991</v>
      </c>
    </row>
    <row r="1900" spans="2:9" ht="45" customHeight="1" x14ac:dyDescent="0.35">
      <c r="B1900" s="481" t="s">
        <v>135</v>
      </c>
      <c r="C1900" s="481"/>
      <c r="D1900" s="481"/>
      <c r="E1900" s="481"/>
      <c r="F1900" s="481"/>
      <c r="G1900" s="481"/>
      <c r="H1900" s="152"/>
      <c r="I1900" s="152"/>
    </row>
    <row r="1901" spans="2:9" ht="10" customHeight="1" x14ac:dyDescent="0.35">
      <c r="B1901" s="29"/>
      <c r="C1901" s="29"/>
      <c r="D1901" s="29"/>
      <c r="E1901" s="29"/>
      <c r="F1901" s="29"/>
      <c r="G1901" s="29"/>
      <c r="H1901" s="134"/>
      <c r="I1901" s="29"/>
    </row>
    <row r="1902" spans="2:9" ht="39.65" customHeight="1" x14ac:dyDescent="0.35">
      <c r="B1902" s="479" t="s">
        <v>117</v>
      </c>
      <c r="C1902" s="479"/>
      <c r="D1902" s="112"/>
      <c r="E1902" s="112"/>
      <c r="F1902" s="112"/>
      <c r="G1902" s="112"/>
      <c r="H1902" s="480"/>
      <c r="I1902" s="480"/>
    </row>
    <row r="1903" spans="2:9" ht="15" customHeight="1" x14ac:dyDescent="0.35">
      <c r="B1903" s="83" t="s">
        <v>25</v>
      </c>
    </row>
    <row r="1904" spans="2:9" ht="35.15" customHeight="1" x14ac:dyDescent="0.35">
      <c r="B1904" s="168" t="s">
        <v>822</v>
      </c>
      <c r="C1904" s="167" t="s">
        <v>137</v>
      </c>
      <c r="D1904" s="167" t="s">
        <v>138</v>
      </c>
      <c r="E1904" s="167" t="s">
        <v>139</v>
      </c>
      <c r="F1904" s="164" t="s">
        <v>142</v>
      </c>
      <c r="G1904" s="166" t="s">
        <v>143</v>
      </c>
    </row>
    <row r="1905" spans="2:7" ht="25" customHeight="1" x14ac:dyDescent="0.35">
      <c r="B1905" s="141" t="s">
        <v>144</v>
      </c>
      <c r="C1905" s="46">
        <f>SUM(C1906:C1909)</f>
        <v>621410</v>
      </c>
      <c r="D1905" s="46">
        <f t="shared" ref="D1905" si="38">SUM(D1906:D1909)</f>
        <v>238248</v>
      </c>
      <c r="E1905" s="46">
        <f t="shared" ref="E1905" si="39">SUM(E1906:E1909)</f>
        <v>-345664</v>
      </c>
      <c r="F1905" s="46">
        <f t="shared" ref="F1905" si="40">SUM(F1906:F1909)</f>
        <v>-34253</v>
      </c>
      <c r="G1905" s="46">
        <f>SUM(G1906:G1909)</f>
        <v>479741</v>
      </c>
    </row>
    <row r="1906" spans="2:7" ht="20.149999999999999" customHeight="1" x14ac:dyDescent="0.35">
      <c r="B1906" s="142" t="s">
        <v>145</v>
      </c>
      <c r="C1906" s="76">
        <v>468395</v>
      </c>
      <c r="D1906" s="76">
        <v>177113</v>
      </c>
      <c r="E1906" s="76">
        <v>-297631</v>
      </c>
      <c r="F1906" s="32">
        <v>-78287</v>
      </c>
      <c r="G1906" s="32">
        <f>IFERROR(SUM(C1906:F1906),0)</f>
        <v>269590</v>
      </c>
    </row>
    <row r="1907" spans="2:7" ht="20.149999999999999" customHeight="1" x14ac:dyDescent="0.35">
      <c r="B1907" s="142" t="s">
        <v>821</v>
      </c>
      <c r="C1907" s="76">
        <v>24736</v>
      </c>
      <c r="D1907" s="76">
        <v>22227</v>
      </c>
      <c r="E1907" s="76">
        <v>-57828</v>
      </c>
      <c r="F1907" s="32">
        <v>3254</v>
      </c>
      <c r="G1907" s="32">
        <f t="shared" ref="G1907:G1911" si="41">IFERROR(SUM(C1907:F1907),0)</f>
        <v>-7611</v>
      </c>
    </row>
    <row r="1908" spans="2:7" ht="20.149999999999999" customHeight="1" x14ac:dyDescent="0.35">
      <c r="B1908" s="142" t="s">
        <v>146</v>
      </c>
      <c r="C1908" s="76">
        <v>42030</v>
      </c>
      <c r="D1908" s="76">
        <v>33907</v>
      </c>
      <c r="E1908" s="76">
        <v>9792</v>
      </c>
      <c r="F1908" s="32">
        <v>34131</v>
      </c>
      <c r="G1908" s="32">
        <f t="shared" si="41"/>
        <v>119860</v>
      </c>
    </row>
    <row r="1909" spans="2:7" ht="20.149999999999999" customHeight="1" x14ac:dyDescent="0.35">
      <c r="B1909" s="142" t="s">
        <v>79</v>
      </c>
      <c r="C1909" s="76">
        <v>86249</v>
      </c>
      <c r="D1909" s="76">
        <v>5001</v>
      </c>
      <c r="E1909" s="76">
        <v>3</v>
      </c>
      <c r="F1909" s="32">
        <v>6649</v>
      </c>
      <c r="G1909" s="32">
        <f t="shared" si="41"/>
        <v>97902</v>
      </c>
    </row>
    <row r="1910" spans="2:7" ht="25" customHeight="1" x14ac:dyDescent="0.35">
      <c r="B1910" s="141" t="s">
        <v>147</v>
      </c>
      <c r="C1910" s="46">
        <f>SUM(C1911:C1912)</f>
        <v>4188</v>
      </c>
      <c r="D1910" s="46">
        <f>SUM(D1911:D1912)</f>
        <v>2588</v>
      </c>
      <c r="E1910" s="46">
        <f>SUM(E1911:E1912)</f>
        <v>191246</v>
      </c>
      <c r="F1910" s="46">
        <f>SUM(F1911:F1912)</f>
        <v>797</v>
      </c>
      <c r="G1910" s="52">
        <f>SUM(C1910:F1910)</f>
        <v>198819</v>
      </c>
    </row>
    <row r="1911" spans="2:7" ht="20.149999999999999" customHeight="1" x14ac:dyDescent="0.35">
      <c r="B1911" s="142" t="s">
        <v>848</v>
      </c>
      <c r="C1911" s="76">
        <v>0</v>
      </c>
      <c r="D1911" s="76">
        <v>0</v>
      </c>
      <c r="E1911" s="76">
        <v>190653</v>
      </c>
      <c r="F1911" s="32">
        <v>0</v>
      </c>
      <c r="G1911" s="32">
        <f t="shared" si="41"/>
        <v>190653</v>
      </c>
    </row>
    <row r="1912" spans="2:7" ht="20.149999999999999" customHeight="1" x14ac:dyDescent="0.35">
      <c r="B1912" s="142" t="s">
        <v>150</v>
      </c>
      <c r="C1912" s="76">
        <v>4188</v>
      </c>
      <c r="D1912" s="76">
        <v>2588</v>
      </c>
      <c r="E1912" s="76">
        <v>593</v>
      </c>
      <c r="F1912" s="32">
        <v>797</v>
      </c>
      <c r="G1912" s="32">
        <f>IFERROR(SUM(C1912:F1912),0)</f>
        <v>8166</v>
      </c>
    </row>
    <row r="1913" spans="2:7" ht="28" customHeight="1" x14ac:dyDescent="0.35">
      <c r="B1913" s="39" t="s">
        <v>152</v>
      </c>
      <c r="C1913" s="58">
        <f>SUM(C1905,C1910)</f>
        <v>625598</v>
      </c>
      <c r="D1913" s="58">
        <f>SUM(D1905,D1910)</f>
        <v>240836</v>
      </c>
      <c r="E1913" s="58">
        <f>SUM(E1905,E1910)</f>
        <v>-154418</v>
      </c>
      <c r="F1913" s="58">
        <f>SUM(F1905,F1910)</f>
        <v>-33456</v>
      </c>
      <c r="G1913" s="58">
        <f>SUM(G1905,G1910)</f>
        <v>678560</v>
      </c>
    </row>
    <row r="1914" spans="2:7" ht="15.75" customHeight="1" x14ac:dyDescent="0.35">
      <c r="B1914" s="431"/>
      <c r="C1914" s="432"/>
      <c r="D1914" s="432"/>
      <c r="E1914" s="432"/>
      <c r="F1914" s="432"/>
      <c r="G1914" s="432"/>
    </row>
    <row r="1915" spans="2:7" ht="19" customHeight="1" x14ac:dyDescent="0.35">
      <c r="B1915" s="83" t="s">
        <v>25</v>
      </c>
      <c r="C1915" s="108"/>
      <c r="D1915" s="108"/>
      <c r="E1915" s="108"/>
      <c r="F1915" s="108"/>
      <c r="G1915" s="15" t="s">
        <v>25</v>
      </c>
    </row>
    <row r="1916" spans="2:7" ht="35.15" customHeight="1" x14ac:dyDescent="0.35">
      <c r="B1916" s="168" t="s">
        <v>823</v>
      </c>
      <c r="C1916" s="167" t="s">
        <v>137</v>
      </c>
      <c r="D1916" s="167" t="s">
        <v>138</v>
      </c>
      <c r="E1916" s="167" t="s">
        <v>139</v>
      </c>
      <c r="F1916" s="164" t="s">
        <v>142</v>
      </c>
      <c r="G1916" s="166" t="s">
        <v>143</v>
      </c>
    </row>
    <row r="1917" spans="2:7" ht="25" customHeight="1" x14ac:dyDescent="0.35">
      <c r="B1917" s="141" t="s">
        <v>144</v>
      </c>
      <c r="C1917" s="46">
        <f>SUM(C1918:C1921)</f>
        <v>557109</v>
      </c>
      <c r="D1917" s="46">
        <f>SUM(D1918:D1921)</f>
        <v>-32525</v>
      </c>
      <c r="E1917" s="46">
        <f>SUM(E1918:E1921)</f>
        <v>-71120</v>
      </c>
      <c r="F1917" s="46">
        <f>SUM(F1918:F1921)</f>
        <v>-38374</v>
      </c>
      <c r="G1917" s="46">
        <f>SUM(G1918:G1921)</f>
        <v>415090</v>
      </c>
    </row>
    <row r="1918" spans="2:7" ht="20.149999999999999" customHeight="1" x14ac:dyDescent="0.35">
      <c r="B1918" s="142" t="s">
        <v>145</v>
      </c>
      <c r="C1918" s="76">
        <v>460115</v>
      </c>
      <c r="D1918" s="76">
        <v>-6031</v>
      </c>
      <c r="E1918" s="76">
        <v>-55415</v>
      </c>
      <c r="F1918" s="32">
        <v>-56549</v>
      </c>
      <c r="G1918" s="32">
        <f>IFERROR(SUM(C1918:F1918),0)</f>
        <v>342120</v>
      </c>
    </row>
    <row r="1919" spans="2:7" ht="20.149999999999999" customHeight="1" x14ac:dyDescent="0.35">
      <c r="B1919" s="142" t="s">
        <v>821</v>
      </c>
      <c r="C1919" s="76">
        <v>32081</v>
      </c>
      <c r="D1919" s="76">
        <v>-37895</v>
      </c>
      <c r="E1919" s="76">
        <v>-16295</v>
      </c>
      <c r="F1919" s="32">
        <v>3971</v>
      </c>
      <c r="G1919" s="32">
        <f t="shared" ref="G1919:G1921" si="42">IFERROR(SUM(C1919:F1919),0)</f>
        <v>-18138</v>
      </c>
    </row>
    <row r="1920" spans="2:7" ht="20.149999999999999" customHeight="1" x14ac:dyDescent="0.35">
      <c r="B1920" s="142" t="s">
        <v>146</v>
      </c>
      <c r="C1920" s="76">
        <v>-11506</v>
      </c>
      <c r="D1920" s="76">
        <v>5549</v>
      </c>
      <c r="E1920" s="76">
        <v>587</v>
      </c>
      <c r="F1920" s="32">
        <v>14204</v>
      </c>
      <c r="G1920" s="32">
        <f t="shared" si="42"/>
        <v>8834</v>
      </c>
    </row>
    <row r="1921" spans="2:7" ht="20.149999999999999" customHeight="1" x14ac:dyDescent="0.35">
      <c r="B1921" s="142" t="s">
        <v>79</v>
      </c>
      <c r="C1921" s="76">
        <v>76419</v>
      </c>
      <c r="D1921" s="76">
        <v>5852</v>
      </c>
      <c r="E1921" s="76">
        <v>3</v>
      </c>
      <c r="F1921" s="32" t="s">
        <v>216</v>
      </c>
      <c r="G1921" s="32">
        <f t="shared" si="42"/>
        <v>82274</v>
      </c>
    </row>
    <row r="1922" spans="2:7" ht="25" customHeight="1" x14ac:dyDescent="0.35">
      <c r="B1922" s="141" t="s">
        <v>147</v>
      </c>
      <c r="C1922" s="46">
        <f>SUM(C1923:C1925)</f>
        <v>-382</v>
      </c>
      <c r="D1922" s="46">
        <f>SUM(D1923:D1925)</f>
        <v>198660</v>
      </c>
      <c r="E1922" s="46">
        <f>SUM(E1923:E1925)</f>
        <v>-54</v>
      </c>
      <c r="F1922" s="46">
        <f>SUM(F1923:F1925)</f>
        <v>-72</v>
      </c>
      <c r="G1922" s="52">
        <f>SUM(C1922:F1922)</f>
        <v>198152</v>
      </c>
    </row>
    <row r="1923" spans="2:7" ht="20.149999999999999" customHeight="1" x14ac:dyDescent="0.35">
      <c r="B1923" s="142" t="s">
        <v>150</v>
      </c>
      <c r="C1923" s="76">
        <v>1920</v>
      </c>
      <c r="D1923" s="76">
        <v>1187</v>
      </c>
      <c r="E1923" s="76">
        <v>272</v>
      </c>
      <c r="F1923" s="32">
        <v>366</v>
      </c>
      <c r="G1923" s="32">
        <f>IFERROR(SUM(C1923:F1923),0)</f>
        <v>3745</v>
      </c>
    </row>
    <row r="1924" spans="2:7" ht="20.149999999999999" customHeight="1" x14ac:dyDescent="0.35">
      <c r="B1924" s="142" t="s">
        <v>87</v>
      </c>
      <c r="C1924" s="76">
        <v>0</v>
      </c>
      <c r="D1924" s="76">
        <v>198895</v>
      </c>
      <c r="E1924" s="76">
        <v>0</v>
      </c>
      <c r="F1924" s="32">
        <v>0</v>
      </c>
      <c r="G1924" s="32">
        <f>IFERROR(SUM(C1924:F1924),0)</f>
        <v>198895</v>
      </c>
    </row>
    <row r="1925" spans="2:7" ht="20.149999999999999" customHeight="1" x14ac:dyDescent="0.35">
      <c r="B1925" s="142" t="s">
        <v>830</v>
      </c>
      <c r="C1925" s="76">
        <v>-2302</v>
      </c>
      <c r="D1925" s="76">
        <v>-1422</v>
      </c>
      <c r="E1925" s="76">
        <v>-326</v>
      </c>
      <c r="F1925" s="32">
        <v>-438</v>
      </c>
      <c r="G1925" s="32">
        <f>IFERROR(SUM(C1925:F1925),0)</f>
        <v>-4488</v>
      </c>
    </row>
    <row r="1926" spans="2:7" ht="28" customHeight="1" x14ac:dyDescent="0.35">
      <c r="B1926" s="39" t="s">
        <v>152</v>
      </c>
      <c r="C1926" s="58">
        <f>SUM(C1917,C1922)</f>
        <v>556727</v>
      </c>
      <c r="D1926" s="58">
        <f>SUM(D1917,D1922)</f>
        <v>166135</v>
      </c>
      <c r="E1926" s="58">
        <f>SUM(E1917,E1922)</f>
        <v>-71174</v>
      </c>
      <c r="F1926" s="58">
        <f>SUM(F1917,F1922)</f>
        <v>-38446</v>
      </c>
      <c r="G1926" s="58">
        <f>SUM(G1917,G1922)</f>
        <v>613242</v>
      </c>
    </row>
  </sheetData>
  <mergeCells count="13">
    <mergeCell ref="BS224:CS224"/>
    <mergeCell ref="BS226:CS226"/>
    <mergeCell ref="B1902:C1902"/>
    <mergeCell ref="H1902:I1902"/>
    <mergeCell ref="B5:I5"/>
    <mergeCell ref="B7:C7"/>
    <mergeCell ref="H7:I7"/>
    <mergeCell ref="BS236:CS236"/>
    <mergeCell ref="B1900:G1900"/>
    <mergeCell ref="B906:D906"/>
    <mergeCell ref="BS246:CS246"/>
    <mergeCell ref="B908:C908"/>
    <mergeCell ref="H908:I908"/>
  </mergeCells>
  <pageMargins left="0.511811024" right="0.511811024" top="0.78740157499999996" bottom="0.78740157499999996" header="0.31496062000000002" footer="0.31496062000000002"/>
  <ignoredErrors>
    <ignoredError sqref="G1922 G191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F0E81-579B-41D8-B5A2-AD3C0E06E0EE}">
  <sheetPr>
    <tabColor rgb="FF17772E"/>
  </sheetPr>
  <dimension ref="B1:CR2037"/>
  <sheetViews>
    <sheetView showGridLines="0" topLeftCell="A2" zoomScaleNormal="100" workbookViewId="0"/>
  </sheetViews>
  <sheetFormatPr defaultColWidth="8.7265625" defaultRowHeight="19" customHeight="1" x14ac:dyDescent="0.35"/>
  <cols>
    <col min="1" max="1" width="2.54296875" style="1" customWidth="1"/>
    <col min="2" max="2" width="75.54296875" style="1" customWidth="1"/>
    <col min="3" max="5" width="20.54296875" style="1" customWidth="1"/>
    <col min="6" max="65" width="8.7265625" style="1"/>
    <col min="66" max="66" width="4.81640625" style="1" hidden="1" customWidth="1"/>
    <col min="67" max="67" width="55.1796875" style="1" customWidth="1"/>
    <col min="68" max="68" width="13.453125" style="1" customWidth="1"/>
    <col min="69" max="69" width="7" style="1" customWidth="1"/>
    <col min="70" max="70" width="75.54296875" style="1" customWidth="1"/>
    <col min="71" max="71" width="20.54296875" style="1" customWidth="1"/>
    <col min="72" max="72" width="15.54296875" style="1" customWidth="1"/>
    <col min="73" max="96" width="20.54296875" style="1" customWidth="1"/>
    <col min="97" max="16384" width="8.7265625" style="1"/>
  </cols>
  <sheetData>
    <row r="1" spans="2:5" ht="19" hidden="1" customHeight="1" x14ac:dyDescent="0.35"/>
    <row r="5" spans="2:5" ht="45" customHeight="1" x14ac:dyDescent="0.35">
      <c r="B5" s="478" t="s">
        <v>10</v>
      </c>
      <c r="C5" s="478"/>
      <c r="D5" s="478"/>
      <c r="E5" s="478"/>
    </row>
    <row r="6" spans="2:5" ht="10" customHeight="1" x14ac:dyDescent="0.35">
      <c r="B6" s="29"/>
      <c r="C6" s="29"/>
      <c r="D6" s="134"/>
      <c r="E6" s="29"/>
    </row>
    <row r="7" spans="2:5" ht="40" customHeight="1" x14ac:dyDescent="0.35">
      <c r="B7" s="479" t="s">
        <v>1</v>
      </c>
      <c r="C7" s="479"/>
      <c r="D7" s="482" t="s">
        <v>26</v>
      </c>
      <c r="E7" s="482"/>
    </row>
    <row r="8" spans="2:5" ht="15" customHeight="1" x14ac:dyDescent="0.35">
      <c r="B8" s="84"/>
      <c r="E8" s="15" t="s">
        <v>25</v>
      </c>
    </row>
    <row r="9" spans="2:5" ht="35.15" customHeight="1" x14ac:dyDescent="0.35">
      <c r="B9" s="168" t="s">
        <v>10</v>
      </c>
      <c r="C9" s="167" t="str">
        <f>IFERROR($D$7,"")</f>
        <v>2T | 2026</v>
      </c>
      <c r="D9" s="164" t="str">
        <f xml:space="preserve">
IFERROR(
_xlfn.CONCAT(
MID($D$7,1,2),
" | ",
MID($D$7,6,4)-1
),0)</f>
        <v>2T | 2025</v>
      </c>
      <c r="E9" s="164" t="s">
        <v>5</v>
      </c>
    </row>
    <row r="10" spans="2:5" ht="25" customHeight="1" x14ac:dyDescent="0.35">
      <c r="B10" s="141" t="str">
        <f t="shared" ref="B10:B35" si="0">BR252</f>
        <v>RECEITAS FINANCEIRAS</v>
      </c>
      <c r="C10" s="46">
        <f>IFERROR(SUM(C11:C24),0)</f>
        <v>290189</v>
      </c>
      <c r="D10" s="46">
        <f>IFERROR(SUM(D11:D24),0)</f>
        <v>302444</v>
      </c>
      <c r="E10" s="70">
        <f>IFERROR(((C10/D10)-1)*100,0)</f>
        <v>-4.0519897898453898</v>
      </c>
    </row>
    <row r="11" spans="2:5" ht="19" customHeight="1" x14ac:dyDescent="0.35">
      <c r="B11" s="142" t="str">
        <f t="shared" si="0"/>
        <v>Renda de aplicação financeira</v>
      </c>
      <c r="C11" s="76">
        <f t="shared" ref="C11:C24" si="1" xml:space="preserve">
IFERROR(
INDEX($BR$252:$ED$500,
MATCH(
_xlfn.CONCAT($B$7,"|",$B$10,"|",$B11),
$BN$252:$BN$500,0),
MATCH($C$9,$BR$251:$ED$251,0)),
0)</f>
        <v>130999</v>
      </c>
      <c r="D11" s="32">
        <f t="shared" ref="D11:D24" si="2" xml:space="preserve">
IFERROR(
INDEX($BR$252:$ED$500,
MATCH(
_xlfn.CONCAT($B$7,"|",$B$10,"|",$B11),
$BN$252:$BN$500,0),
MATCH($D$9,$BR$251:$ED$251,0)),
0)</f>
        <v>201623</v>
      </c>
      <c r="E11" s="198">
        <f t="shared" ref="E11:E43" si="3">IFERROR(((C11/D11)-1)*100,0)</f>
        <v>-35.0277498102895</v>
      </c>
    </row>
    <row r="12" spans="2:5" ht="19" customHeight="1" x14ac:dyDescent="0.35">
      <c r="B12" s="142" t="str">
        <f t="shared" si="0"/>
        <v>Acréscimos moratórios sobre venda de energia</v>
      </c>
      <c r="C12" s="76">
        <f t="shared" si="1"/>
        <v>84503</v>
      </c>
      <c r="D12" s="32">
        <f t="shared" si="2"/>
        <v>81432</v>
      </c>
      <c r="E12" s="198">
        <f t="shared" si="3"/>
        <v>3.7712447195205723</v>
      </c>
    </row>
    <row r="13" spans="2:5" ht="19" customHeight="1" x14ac:dyDescent="0.35">
      <c r="B13" s="142" t="str">
        <f t="shared" si="0"/>
        <v>Variações cambiais – Itaipu Binacional</v>
      </c>
      <c r="C13" s="76">
        <f t="shared" si="1"/>
        <v>4379</v>
      </c>
      <c r="D13" s="32">
        <f t="shared" si="2"/>
        <v>2326</v>
      </c>
      <c r="E13" s="198">
        <f t="shared" si="3"/>
        <v>88.263112639724838</v>
      </c>
    </row>
    <row r="14" spans="2:5" ht="19" customHeight="1" x14ac:dyDescent="0.35">
      <c r="B14" s="142" t="str">
        <f t="shared" si="0"/>
        <v>Variações cambiais – Empréstimos</v>
      </c>
      <c r="C14" s="76">
        <f t="shared" si="1"/>
        <v>0</v>
      </c>
      <c r="D14" s="32">
        <f t="shared" si="2"/>
        <v>0</v>
      </c>
      <c r="E14" s="198">
        <f t="shared" si="3"/>
        <v>0</v>
      </c>
    </row>
    <row r="15" spans="2:5" ht="19" customHeight="1" x14ac:dyDescent="0.35">
      <c r="B15" s="142" t="str">
        <f t="shared" si="0"/>
        <v>Variação monetária</v>
      </c>
      <c r="C15" s="76">
        <f t="shared" si="1"/>
        <v>19332</v>
      </c>
      <c r="D15" s="32">
        <f t="shared" si="2"/>
        <v>12156</v>
      </c>
      <c r="E15" s="198">
        <f t="shared" si="3"/>
        <v>59.032576505429411</v>
      </c>
    </row>
    <row r="16" spans="2:5" ht="19" customHeight="1" x14ac:dyDescent="0.35">
      <c r="B16" s="142" t="str">
        <f t="shared" si="0"/>
        <v>Variação monetária – CVA</v>
      </c>
      <c r="C16" s="76">
        <f t="shared" si="1"/>
        <v>40961</v>
      </c>
      <c r="D16" s="32">
        <f t="shared" si="2"/>
        <v>13346</v>
      </c>
      <c r="E16" s="198">
        <f t="shared" si="3"/>
        <v>206.91592986662673</v>
      </c>
    </row>
    <row r="17" spans="2:5" ht="19" customHeight="1" x14ac:dyDescent="0.35">
      <c r="B17" s="142" t="str">
        <f t="shared" si="0"/>
        <v>Ganhos com instrumentos financeiros - Swap</v>
      </c>
      <c r="C17" s="76">
        <f t="shared" si="1"/>
        <v>0</v>
      </c>
      <c r="D17" s="32">
        <f t="shared" si="2"/>
        <v>0</v>
      </c>
      <c r="E17" s="198">
        <f t="shared" si="3"/>
        <v>0</v>
      </c>
    </row>
    <row r="18" spans="2:5" ht="19" customHeight="1" x14ac:dyDescent="0.35">
      <c r="B18" s="142" t="str">
        <f t="shared" si="0"/>
        <v>Variação monetária de depósitos vinculados a litígios</v>
      </c>
      <c r="C18" s="76">
        <f t="shared" si="1"/>
        <v>20091</v>
      </c>
      <c r="D18" s="32">
        <f t="shared" si="2"/>
        <v>20203</v>
      </c>
      <c r="E18" s="198">
        <f t="shared" si="3"/>
        <v>-0.55437311290402747</v>
      </c>
    </row>
    <row r="19" spans="2:5" ht="19" customHeight="1" x14ac:dyDescent="0.35">
      <c r="B19" s="142" t="str">
        <f t="shared" si="0"/>
        <v>PIS/Pasep e Cofins incidente sobre as receitas financeiras</v>
      </c>
      <c r="C19" s="76">
        <f t="shared" si="1"/>
        <v>-67550</v>
      </c>
      <c r="D19" s="32">
        <f t="shared" si="2"/>
        <v>-72060</v>
      </c>
      <c r="E19" s="198">
        <f t="shared" si="3"/>
        <v>-6.2586733277824047</v>
      </c>
    </row>
    <row r="20" spans="2:5" ht="19" customHeight="1" x14ac:dyDescent="0.35">
      <c r="B20" s="142" t="str">
        <f t="shared" si="0"/>
        <v>Rendas de antecipação de pagamento</v>
      </c>
      <c r="C20" s="76">
        <f t="shared" si="1"/>
        <v>15107</v>
      </c>
      <c r="D20" s="32">
        <f t="shared" si="2"/>
        <v>933</v>
      </c>
      <c r="E20" s="198">
        <f t="shared" si="3"/>
        <v>1519.1854233654876</v>
      </c>
    </row>
    <row r="21" spans="2:5" ht="19" customHeight="1" x14ac:dyDescent="0.35">
      <c r="B21" s="142" t="str">
        <f t="shared" si="0"/>
        <v>Encargos de créditos com partes relacionadas</v>
      </c>
      <c r="C21" s="76">
        <f t="shared" si="1"/>
        <v>0</v>
      </c>
      <c r="D21" s="32">
        <f t="shared" si="2"/>
        <v>0</v>
      </c>
      <c r="E21" s="198">
        <f t="shared" si="3"/>
        <v>0</v>
      </c>
    </row>
    <row r="22" spans="2:5" ht="19" customHeight="1" x14ac:dyDescent="0.35">
      <c r="B22" s="142" t="str">
        <f t="shared" si="0"/>
        <v>Atualização dos créditos de PIS/Pasep e Cofins sobre ICMS</v>
      </c>
      <c r="C22" s="76">
        <f t="shared" si="1"/>
        <v>6917</v>
      </c>
      <c r="D22" s="32">
        <f t="shared" si="2"/>
        <v>4345</v>
      </c>
      <c r="E22" s="198">
        <f t="shared" si="3"/>
        <v>59.194476409666287</v>
      </c>
    </row>
    <row r="23" spans="2:5" ht="19" customHeight="1" x14ac:dyDescent="0.35">
      <c r="B23" s="142" t="str">
        <f t="shared" si="0"/>
        <v>Atualização crédito IRPJ sobre PAT</v>
      </c>
      <c r="C23" s="76">
        <f t="shared" si="1"/>
        <v>105</v>
      </c>
      <c r="D23" s="32">
        <f t="shared" si="2"/>
        <v>2185</v>
      </c>
      <c r="E23" s="198">
        <f t="shared" si="3"/>
        <v>-95.194508009153324</v>
      </c>
    </row>
    <row r="24" spans="2:5" ht="19" customHeight="1" x14ac:dyDescent="0.35">
      <c r="B24" s="142" t="str">
        <f t="shared" si="0"/>
        <v>Outras receitas financeiras</v>
      </c>
      <c r="C24" s="76">
        <f t="shared" si="1"/>
        <v>35345</v>
      </c>
      <c r="D24" s="32">
        <f t="shared" si="2"/>
        <v>35955</v>
      </c>
      <c r="E24" s="198">
        <f t="shared" si="3"/>
        <v>-1.6965651508830448</v>
      </c>
    </row>
    <row r="25" spans="2:5" ht="25" customHeight="1" x14ac:dyDescent="0.35">
      <c r="B25" s="141" t="str">
        <f t="shared" si="0"/>
        <v>DESPESAS FINANCEIRAS</v>
      </c>
      <c r="C25" s="46">
        <f>IFERROR(SUM(C26:C43),0)</f>
        <v>-1086094</v>
      </c>
      <c r="D25" s="46">
        <f>IFERROR(SUM(D26:D43),0)</f>
        <v>-615031</v>
      </c>
      <c r="E25" s="70">
        <f t="shared" si="3"/>
        <v>76.591749033788531</v>
      </c>
    </row>
    <row r="26" spans="2:5" ht="19" customHeight="1" x14ac:dyDescent="0.35">
      <c r="B26" s="142" t="str">
        <f t="shared" si="0"/>
        <v>Encargos de debêntures</v>
      </c>
      <c r="C26" s="76">
        <f t="shared" ref="C26:C43" si="4" xml:space="preserve">
IFERROR(
INDEX($BR$252:$ED$500,
MATCH(
_xlfn.CONCAT($B$7,"|",$B$25,"|",$B26),
$BN$252:$BN$500,0),
MATCH($C$9,$BR$251:$ED$251,0)),
0)</f>
        <v>-480171</v>
      </c>
      <c r="D26" s="32">
        <f t="shared" ref="D26:D43" si="5" xml:space="preserve">
IFERROR(
INDEX($BR$252:$ED$500,
MATCH(
_xlfn.CONCAT($B$7,"|",$B$25,"|",$B26),
$BN$252:$BN$500,0),
MATCH($D$9,$BR$251:$ED$251,0)),
0)</f>
        <v>-383331</v>
      </c>
      <c r="E26" s="198">
        <f t="shared" si="3"/>
        <v>25.262762468988932</v>
      </c>
    </row>
    <row r="27" spans="2:5" ht="19" customHeight="1" x14ac:dyDescent="0.35">
      <c r="B27" s="142" t="str">
        <f t="shared" si="0"/>
        <v>Amortização do custo de transação</v>
      </c>
      <c r="C27" s="76">
        <f t="shared" si="4"/>
        <v>-9575</v>
      </c>
      <c r="D27" s="32">
        <f t="shared" si="5"/>
        <v>-6878</v>
      </c>
      <c r="E27" s="198">
        <f t="shared" si="3"/>
        <v>39.21198022681012</v>
      </c>
    </row>
    <row r="28" spans="2:5" ht="19" customHeight="1" x14ac:dyDescent="0.35">
      <c r="B28" s="142" t="str">
        <f t="shared" si="0"/>
        <v>Variação cambial de empréstimo, líquido de derivativo</v>
      </c>
      <c r="C28" s="76">
        <f t="shared" si="4"/>
        <v>0</v>
      </c>
      <c r="D28" s="32">
        <f t="shared" si="5"/>
        <v>0</v>
      </c>
      <c r="E28" s="198">
        <f t="shared" si="3"/>
        <v>0</v>
      </c>
    </row>
    <row r="29" spans="2:5" ht="19" customHeight="1" x14ac:dyDescent="0.35">
      <c r="B29" s="142" t="str">
        <f t="shared" si="0"/>
        <v>Variação Cambial - Eurobond</v>
      </c>
      <c r="C29" s="76">
        <f t="shared" si="4"/>
        <v>0</v>
      </c>
      <c r="D29" s="32">
        <f t="shared" si="5"/>
        <v>0</v>
      </c>
      <c r="E29" s="198">
        <f t="shared" si="3"/>
        <v>0</v>
      </c>
    </row>
    <row r="30" spans="2:5" ht="19" customHeight="1" x14ac:dyDescent="0.35">
      <c r="B30" s="142" t="str">
        <f t="shared" si="0"/>
        <v>Ágio na recompra de títulos de dívida (Eurobonds)</v>
      </c>
      <c r="C30" s="76">
        <f t="shared" si="4"/>
        <v>0</v>
      </c>
      <c r="D30" s="32">
        <f t="shared" si="5"/>
        <v>0</v>
      </c>
      <c r="E30" s="198">
        <f t="shared" si="3"/>
        <v>0</v>
      </c>
    </row>
    <row r="31" spans="2:5" ht="19" customHeight="1" x14ac:dyDescent="0.35">
      <c r="B31" s="142" t="str">
        <f t="shared" si="0"/>
        <v>Variações cambiais – Itaipu Binacional</v>
      </c>
      <c r="C31" s="76">
        <f t="shared" si="4"/>
        <v>0</v>
      </c>
      <c r="D31" s="32">
        <f t="shared" si="5"/>
        <v>0</v>
      </c>
      <c r="E31" s="198">
        <f t="shared" si="3"/>
        <v>0</v>
      </c>
    </row>
    <row r="32" spans="2:5" ht="19" customHeight="1" x14ac:dyDescent="0.35">
      <c r="B32" s="142" t="str">
        <f t="shared" si="0"/>
        <v>Variação cambiais - Debêntures</v>
      </c>
      <c r="C32" s="76">
        <f t="shared" si="4"/>
        <v>0</v>
      </c>
      <c r="D32" s="32">
        <f t="shared" si="5"/>
        <v>0</v>
      </c>
      <c r="E32" s="198">
        <f t="shared" si="3"/>
        <v>0</v>
      </c>
    </row>
    <row r="33" spans="2:5" ht="19" customHeight="1" x14ac:dyDescent="0.35">
      <c r="B33" s="142" t="str">
        <f t="shared" si="0"/>
        <v>Variação monetária – Debêntures</v>
      </c>
      <c r="C33" s="76">
        <f t="shared" si="4"/>
        <v>-237148</v>
      </c>
      <c r="D33" s="32">
        <f t="shared" si="5"/>
        <v>-61762</v>
      </c>
      <c r="E33" s="198">
        <f t="shared" si="3"/>
        <v>283.97072633658235</v>
      </c>
    </row>
    <row r="34" spans="2:5" ht="19" customHeight="1" x14ac:dyDescent="0.35">
      <c r="B34" s="142" t="str">
        <f t="shared" si="0"/>
        <v>Variação monetária – CVA</v>
      </c>
      <c r="C34" s="76">
        <f t="shared" si="4"/>
        <v>0</v>
      </c>
      <c r="D34" s="32">
        <f t="shared" si="5"/>
        <v>0</v>
      </c>
      <c r="E34" s="198">
        <f t="shared" si="3"/>
        <v>0</v>
      </c>
    </row>
    <row r="35" spans="2:5" ht="19" customHeight="1" x14ac:dyDescent="0.35">
      <c r="B35" s="142" t="str">
        <f t="shared" si="0"/>
        <v>Variação monetária – Concessão onerosa</v>
      </c>
      <c r="C35" s="76">
        <f t="shared" si="4"/>
        <v>0</v>
      </c>
      <c r="D35" s="32">
        <f t="shared" si="5"/>
        <v>0</v>
      </c>
      <c r="E35" s="198">
        <f t="shared" si="3"/>
        <v>0</v>
      </c>
    </row>
    <row r="36" spans="2:5" ht="19" customHeight="1" x14ac:dyDescent="0.35">
      <c r="B36" s="142" t="str">
        <f t="shared" ref="B36" si="6">BR278</f>
        <v>Variação monetária – Provisões</v>
      </c>
      <c r="C36" s="76">
        <f t="shared" si="4"/>
        <v>-123426</v>
      </c>
      <c r="D36" s="32">
        <f t="shared" si="5"/>
        <v>-49627</v>
      </c>
      <c r="E36" s="198">
        <f t="shared" ref="E36" si="7">IFERROR(((C36/D36)-1)*100,0)</f>
        <v>148.70735688234225</v>
      </c>
    </row>
    <row r="37" spans="2:5" ht="19" customHeight="1" x14ac:dyDescent="0.35">
      <c r="B37" s="142" t="str">
        <f t="shared" ref="B37:B43" si="8">BR279</f>
        <v>Encargos e variação monetária de obrigação pós-emprego</v>
      </c>
      <c r="C37" s="76">
        <f t="shared" si="4"/>
        <v>0</v>
      </c>
      <c r="D37" s="32">
        <f t="shared" si="5"/>
        <v>0</v>
      </c>
      <c r="E37" s="198">
        <f t="shared" si="3"/>
        <v>0</v>
      </c>
    </row>
    <row r="38" spans="2:5" ht="19" customHeight="1" x14ac:dyDescent="0.35">
      <c r="B38" s="142" t="str">
        <f t="shared" si="8"/>
        <v>Perdas com instrumentos financeiros - Swap</v>
      </c>
      <c r="C38" s="76">
        <f t="shared" si="4"/>
        <v>-25022</v>
      </c>
      <c r="D38" s="32">
        <f t="shared" si="5"/>
        <v>0</v>
      </c>
      <c r="E38" s="198">
        <f t="shared" si="3"/>
        <v>0</v>
      </c>
    </row>
    <row r="39" spans="2:5" ht="19" customHeight="1" x14ac:dyDescent="0.35">
      <c r="B39" s="142" t="str">
        <f t="shared" si="8"/>
        <v>Atualização PIS/Pasep e Cofins a restituir aos consumidores</v>
      </c>
      <c r="C39" s="76">
        <f t="shared" si="4"/>
        <v>-554</v>
      </c>
      <c r="D39" s="32">
        <f t="shared" si="5"/>
        <v>-6210</v>
      </c>
      <c r="E39" s="198">
        <f t="shared" si="3"/>
        <v>-91.078904991948477</v>
      </c>
    </row>
    <row r="40" spans="2:5" ht="19" customHeight="1" x14ac:dyDescent="0.35">
      <c r="B40" s="142" t="str">
        <f t="shared" si="8"/>
        <v>Variação monetária de arrendamento</v>
      </c>
      <c r="C40" s="76">
        <f t="shared" si="4"/>
        <v>-5369</v>
      </c>
      <c r="D40" s="32">
        <f t="shared" si="5"/>
        <v>0</v>
      </c>
      <c r="E40" s="198">
        <f t="shared" si="3"/>
        <v>0</v>
      </c>
    </row>
    <row r="41" spans="2:5" ht="19" customHeight="1" x14ac:dyDescent="0.35">
      <c r="B41" s="142" t="str">
        <f t="shared" si="8"/>
        <v>Despesas financeiras P&amp;D e PEE</v>
      </c>
      <c r="C41" s="76">
        <f t="shared" si="4"/>
        <v>-11256</v>
      </c>
      <c r="D41" s="32">
        <f t="shared" si="5"/>
        <v>-10364</v>
      </c>
      <c r="E41" s="198">
        <f t="shared" si="3"/>
        <v>8.6067155538402051</v>
      </c>
    </row>
    <row r="42" spans="2:5" ht="19" customHeight="1" x14ac:dyDescent="0.35">
      <c r="B42" s="142" t="str">
        <f t="shared" si="8"/>
        <v>Atualização estimada de creditos de GD</v>
      </c>
      <c r="C42" s="76">
        <f t="shared" si="4"/>
        <v>-168278</v>
      </c>
      <c r="D42" s="32">
        <f t="shared" si="5"/>
        <v>-75261</v>
      </c>
      <c r="E42" s="198">
        <f t="shared" si="3"/>
        <v>123.59256454206032</v>
      </c>
    </row>
    <row r="43" spans="2:5" ht="19" customHeight="1" x14ac:dyDescent="0.35">
      <c r="B43" s="142" t="str">
        <f t="shared" si="8"/>
        <v>Outras despesas financeiras</v>
      </c>
      <c r="C43" s="76">
        <f t="shared" si="4"/>
        <v>-25295</v>
      </c>
      <c r="D43" s="32">
        <f t="shared" si="5"/>
        <v>-21598</v>
      </c>
      <c r="E43" s="198">
        <f t="shared" si="3"/>
        <v>17.117325678303551</v>
      </c>
    </row>
    <row r="44" spans="2:5" ht="28" customHeight="1" x14ac:dyDescent="0.35">
      <c r="B44" s="39" t="s">
        <v>158</v>
      </c>
      <c r="C44" s="58">
        <f>IFERROR(SUM($C$25,$C$10),0)</f>
        <v>-795905</v>
      </c>
      <c r="D44" s="58">
        <f>IFERROR(SUM($D$25,$D$10),0)</f>
        <v>-312587</v>
      </c>
      <c r="E44" s="199">
        <f>IFERROR(((C44/D44)-1)*100,0)</f>
        <v>154.61871414998063</v>
      </c>
    </row>
    <row r="247" spans="66:96" ht="45" customHeight="1" x14ac:dyDescent="0.35">
      <c r="BR247" s="478" t="s">
        <v>159</v>
      </c>
      <c r="BS247" s="478"/>
      <c r="BT247" s="478"/>
      <c r="BU247" s="478"/>
      <c r="BV247" s="478"/>
      <c r="BW247" s="478"/>
      <c r="BX247" s="478"/>
      <c r="BY247" s="478"/>
      <c r="BZ247" s="478"/>
      <c r="CA247" s="478"/>
      <c r="CB247" s="478"/>
      <c r="CC247" s="478"/>
      <c r="CD247" s="478"/>
      <c r="CE247" s="478"/>
      <c r="CF247" s="478"/>
      <c r="CG247" s="478"/>
      <c r="CH247" s="478"/>
      <c r="CI247" s="478"/>
      <c r="CJ247" s="478"/>
      <c r="CK247" s="478"/>
      <c r="CL247" s="478"/>
      <c r="CM247" s="478"/>
      <c r="CN247" s="478"/>
      <c r="CO247" s="478"/>
      <c r="CP247" s="478"/>
      <c r="CQ247" s="478"/>
      <c r="CR247" s="478"/>
    </row>
    <row r="248" spans="66:96" ht="10" customHeight="1" x14ac:dyDescent="0.35"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  <c r="CR248" s="29"/>
    </row>
    <row r="249" spans="66:96" ht="40" customHeight="1" x14ac:dyDescent="0.35">
      <c r="BR249" s="479" t="s">
        <v>1</v>
      </c>
      <c r="BS249" s="479"/>
      <c r="BT249" s="479"/>
      <c r="BU249" s="479"/>
      <c r="BV249" s="479"/>
      <c r="BW249" s="479"/>
      <c r="BX249" s="479"/>
      <c r="BY249" s="479"/>
      <c r="BZ249" s="479"/>
      <c r="CA249" s="479"/>
      <c r="CB249" s="479"/>
      <c r="CC249" s="479"/>
      <c r="CD249" s="479"/>
      <c r="CE249" s="479"/>
      <c r="CF249" s="479"/>
      <c r="CG249" s="479"/>
      <c r="CH249" s="479"/>
      <c r="CI249" s="479"/>
      <c r="CJ249" s="479"/>
      <c r="CK249" s="479"/>
      <c r="CL249" s="479"/>
      <c r="CM249" s="479"/>
      <c r="CN249" s="479"/>
      <c r="CO249" s="479"/>
      <c r="CP249" s="479"/>
      <c r="CQ249" s="479"/>
      <c r="CR249" s="479"/>
    </row>
    <row r="250" spans="66:96" ht="15" customHeight="1" x14ac:dyDescent="0.35">
      <c r="BR250" s="82" t="s">
        <v>25</v>
      </c>
      <c r="BS250" s="82"/>
      <c r="BT250" s="82"/>
    </row>
    <row r="251" spans="66:96" ht="35.15" customHeight="1" x14ac:dyDescent="0.35">
      <c r="BR251" s="87" t="s">
        <v>10</v>
      </c>
      <c r="BS251" s="167" t="s">
        <v>26</v>
      </c>
      <c r="BT251" s="167" t="s">
        <v>2</v>
      </c>
      <c r="BU251" s="167" t="s">
        <v>22</v>
      </c>
      <c r="BV251" s="167" t="s">
        <v>27</v>
      </c>
      <c r="BW251" s="167" t="s">
        <v>28</v>
      </c>
      <c r="BX251" s="167" t="s">
        <v>29</v>
      </c>
      <c r="BY251" s="167" t="s">
        <v>30</v>
      </c>
      <c r="BZ251" s="167" t="s">
        <v>31</v>
      </c>
      <c r="CA251" s="167" t="s">
        <v>32</v>
      </c>
      <c r="CB251" s="167" t="s">
        <v>33</v>
      </c>
      <c r="CC251" s="167" t="s">
        <v>34</v>
      </c>
      <c r="CD251" s="167" t="s">
        <v>35</v>
      </c>
      <c r="CE251" s="167" t="s">
        <v>36</v>
      </c>
      <c r="CF251" s="167" t="s">
        <v>37</v>
      </c>
      <c r="CG251" s="167" t="s">
        <v>38</v>
      </c>
      <c r="CH251" s="167" t="s">
        <v>39</v>
      </c>
      <c r="CI251" s="167" t="s">
        <v>40</v>
      </c>
      <c r="CJ251" s="167" t="s">
        <v>41</v>
      </c>
      <c r="CK251" s="167" t="s">
        <v>42</v>
      </c>
      <c r="CL251" s="167" t="s">
        <v>43</v>
      </c>
      <c r="CM251" s="167" t="s">
        <v>44</v>
      </c>
      <c r="CN251" s="167" t="s">
        <v>45</v>
      </c>
      <c r="CO251" s="167" t="s">
        <v>46</v>
      </c>
      <c r="CP251" s="167" t="s">
        <v>47</v>
      </c>
      <c r="CQ251" s="167" t="s">
        <v>48</v>
      </c>
      <c r="CR251" s="167" t="s">
        <v>49</v>
      </c>
    </row>
    <row r="252" spans="66:96" ht="25" customHeight="1" x14ac:dyDescent="0.35">
      <c r="BN252" s="81" t="str">
        <f>BR252</f>
        <v>RECEITAS FINANCEIRAS</v>
      </c>
      <c r="BO252" s="81"/>
      <c r="BP252" s="81"/>
      <c r="BQ252" s="126" t="s">
        <v>154</v>
      </c>
      <c r="BR252" s="141" t="s">
        <v>160</v>
      </c>
      <c r="BS252" s="46">
        <f>SUM(BS253:BS266)</f>
        <v>290189</v>
      </c>
      <c r="BT252" s="46">
        <f>SUM(BT253:BT266)</f>
        <v>257960</v>
      </c>
      <c r="BU252" s="46">
        <f>SUM(BU253:BU266)</f>
        <v>250258</v>
      </c>
      <c r="BV252" s="46">
        <f t="shared" ref="BV252:CR252" si="9">SUM(BV253:BV266)</f>
        <v>256943</v>
      </c>
      <c r="BW252" s="46">
        <f t="shared" si="9"/>
        <v>302444</v>
      </c>
      <c r="BX252" s="46">
        <f t="shared" si="9"/>
        <v>193537</v>
      </c>
      <c r="BY252" s="46">
        <f t="shared" si="9"/>
        <v>1429996</v>
      </c>
      <c r="BZ252" s="46">
        <f t="shared" si="9"/>
        <v>262565</v>
      </c>
      <c r="CA252" s="46">
        <f t="shared" si="9"/>
        <v>725474</v>
      </c>
      <c r="CB252" s="46">
        <f t="shared" si="9"/>
        <v>218245</v>
      </c>
      <c r="CC252" s="46">
        <f t="shared" si="9"/>
        <v>1272079</v>
      </c>
      <c r="CD252" s="46">
        <f t="shared" si="9"/>
        <v>345678</v>
      </c>
      <c r="CE252" s="46">
        <f t="shared" si="9"/>
        <v>512131</v>
      </c>
      <c r="CF252" s="46">
        <f t="shared" si="9"/>
        <v>329784</v>
      </c>
      <c r="CG252" s="46">
        <f t="shared" si="9"/>
        <v>1499794</v>
      </c>
      <c r="CH252" s="46">
        <f t="shared" si="9"/>
        <v>411748</v>
      </c>
      <c r="CI252" s="46">
        <f t="shared" si="9"/>
        <v>362931</v>
      </c>
      <c r="CJ252" s="46">
        <f t="shared" si="9"/>
        <v>1109025</v>
      </c>
      <c r="CK252" s="46">
        <f t="shared" si="9"/>
        <v>843306</v>
      </c>
      <c r="CL252" s="46">
        <f t="shared" si="9"/>
        <v>278827</v>
      </c>
      <c r="CM252" s="46">
        <f t="shared" si="9"/>
        <v>1288425</v>
      </c>
      <c r="CN252" s="46">
        <f t="shared" si="9"/>
        <v>154415</v>
      </c>
      <c r="CO252" s="46">
        <f t="shared" si="9"/>
        <v>2445405</v>
      </c>
      <c r="CP252" s="46">
        <f t="shared" si="9"/>
        <v>165368</v>
      </c>
      <c r="CQ252" s="46">
        <f t="shared" si="9"/>
        <v>670078</v>
      </c>
      <c r="CR252" s="46">
        <f t="shared" si="9"/>
        <v>1482735</v>
      </c>
    </row>
    <row r="253" spans="66:96" ht="19" customHeight="1" x14ac:dyDescent="0.35">
      <c r="BN253" s="1" t="str">
        <f>_xlfn.CONCAT($BR$249,"|",$BR$252,"|",$BR253)</f>
        <v>CEMIG|RECEITAS FINANCEIRAS|Renda de aplicação financeira</v>
      </c>
      <c r="BP253" s="392"/>
      <c r="BQ253" s="126" t="s">
        <v>154</v>
      </c>
      <c r="BR253" s="142" t="s">
        <v>161</v>
      </c>
      <c r="BS253" s="76">
        <v>130999</v>
      </c>
      <c r="BT253" s="76">
        <v>86332</v>
      </c>
      <c r="BU253" s="76">
        <v>127954</v>
      </c>
      <c r="BV253" s="76">
        <v>101058</v>
      </c>
      <c r="BW253" s="76">
        <v>201623</v>
      </c>
      <c r="BX253" s="76">
        <v>83866</v>
      </c>
      <c r="BY253" s="76">
        <v>435614</v>
      </c>
      <c r="BZ253" s="76">
        <v>105317</v>
      </c>
      <c r="CA253" s="76">
        <v>117043</v>
      </c>
      <c r="CB253" s="76">
        <v>64768</v>
      </c>
      <c r="CC253" s="76">
        <v>452222</v>
      </c>
      <c r="CD253" s="76">
        <v>120648</v>
      </c>
      <c r="CE253" s="76">
        <v>105994</v>
      </c>
      <c r="CF253" s="76">
        <v>97983</v>
      </c>
      <c r="CG253" s="76">
        <v>468419</v>
      </c>
      <c r="CH253" s="76">
        <v>144443</v>
      </c>
      <c r="CI253" s="76">
        <v>97495</v>
      </c>
      <c r="CJ253" s="76">
        <v>73658</v>
      </c>
      <c r="CK253" s="76">
        <v>241554</v>
      </c>
      <c r="CL253" s="76">
        <v>69250</v>
      </c>
      <c r="CM253" s="76">
        <v>61208</v>
      </c>
      <c r="CN253" s="76">
        <v>31613</v>
      </c>
      <c r="CO253" s="76">
        <v>95246</v>
      </c>
      <c r="CP253" s="76">
        <v>22401</v>
      </c>
      <c r="CQ253" s="76">
        <v>21424</v>
      </c>
      <c r="CR253" s="76">
        <v>18166</v>
      </c>
    </row>
    <row r="254" spans="66:96" ht="19" customHeight="1" x14ac:dyDescent="0.35">
      <c r="BN254" s="1" t="str">
        <f t="shared" ref="BN254:BN266" si="10">_xlfn.CONCAT($BR$249,"|",$BR$252,"|",$BR254)</f>
        <v>CEMIG|RECEITAS FINANCEIRAS|Acréscimos moratórios sobre venda de energia</v>
      </c>
      <c r="BP254" s="392"/>
      <c r="BQ254" s="126" t="s">
        <v>154</v>
      </c>
      <c r="BR254" s="142" t="s">
        <v>162</v>
      </c>
      <c r="BS254" s="76">
        <v>84503</v>
      </c>
      <c r="BT254" s="76">
        <v>82340</v>
      </c>
      <c r="BU254" s="76">
        <v>80895</v>
      </c>
      <c r="BV254" s="76">
        <v>77130</v>
      </c>
      <c r="BW254" s="76">
        <v>81432</v>
      </c>
      <c r="BX254" s="76">
        <v>74284</v>
      </c>
      <c r="BY254" s="76">
        <v>299428</v>
      </c>
      <c r="BZ254" s="76">
        <v>72179</v>
      </c>
      <c r="CA254" s="76">
        <v>73661</v>
      </c>
      <c r="CB254" s="76">
        <v>75427</v>
      </c>
      <c r="CC254" s="76">
        <v>285853</v>
      </c>
      <c r="CD254" s="76">
        <v>66818</v>
      </c>
      <c r="CE254" s="76">
        <v>80027</v>
      </c>
      <c r="CF254" s="76">
        <v>68504</v>
      </c>
      <c r="CG254" s="76">
        <v>337353</v>
      </c>
      <c r="CH254" s="76">
        <v>74121</v>
      </c>
      <c r="CI254" s="76">
        <v>102853</v>
      </c>
      <c r="CJ254" s="76">
        <v>95375</v>
      </c>
      <c r="CK254" s="76">
        <v>460480</v>
      </c>
      <c r="CL254" s="76">
        <v>112579</v>
      </c>
      <c r="CM254" s="76">
        <v>123038</v>
      </c>
      <c r="CN254" s="76">
        <v>114784</v>
      </c>
      <c r="CO254" s="76">
        <v>398940</v>
      </c>
      <c r="CP254" s="76">
        <v>105745</v>
      </c>
      <c r="CQ254" s="76">
        <v>84751</v>
      </c>
      <c r="CR254" s="76">
        <v>92072</v>
      </c>
    </row>
    <row r="255" spans="66:96" ht="19" customHeight="1" x14ac:dyDescent="0.35">
      <c r="BN255" s="1" t="str">
        <f t="shared" si="10"/>
        <v>CEMIG|RECEITAS FINANCEIRAS|Variações cambiais – Itaipu Binacional</v>
      </c>
      <c r="BP255" s="392"/>
      <c r="BQ255" s="126" t="s">
        <v>154</v>
      </c>
      <c r="BR255" s="142" t="s">
        <v>163</v>
      </c>
      <c r="BS255" s="76">
        <v>4379</v>
      </c>
      <c r="BT255" s="76">
        <v>7830</v>
      </c>
      <c r="BU255" s="76">
        <v>-1266</v>
      </c>
      <c r="BV255" s="32">
        <v>7385</v>
      </c>
      <c r="BW255" s="32">
        <v>2326</v>
      </c>
      <c r="BX255" s="32">
        <v>6209</v>
      </c>
      <c r="BY255" s="32">
        <v>0</v>
      </c>
      <c r="BZ255" s="32">
        <v>0</v>
      </c>
      <c r="CA255" s="32">
        <v>0</v>
      </c>
      <c r="CB255" s="32">
        <v>0</v>
      </c>
      <c r="CC255" s="32">
        <v>6722</v>
      </c>
      <c r="CD255" s="32">
        <v>0</v>
      </c>
      <c r="CE255" s="32">
        <v>11222</v>
      </c>
      <c r="CF255" s="32">
        <v>1889</v>
      </c>
      <c r="CG255" s="32">
        <v>16722</v>
      </c>
      <c r="CH255" s="32">
        <v>15509</v>
      </c>
      <c r="CI255" s="32">
        <v>8248</v>
      </c>
      <c r="CJ255" s="32">
        <v>23965</v>
      </c>
      <c r="CK255" s="32">
        <v>0</v>
      </c>
      <c r="CL255" s="32">
        <v>0</v>
      </c>
      <c r="CM255" s="32">
        <v>24254</v>
      </c>
      <c r="CN255" s="32">
        <v>0</v>
      </c>
      <c r="CO255" s="32">
        <v>0</v>
      </c>
      <c r="CP255" s="32">
        <v>0</v>
      </c>
      <c r="CQ255" s="32">
        <v>0</v>
      </c>
      <c r="CR255" s="32">
        <v>0</v>
      </c>
    </row>
    <row r="256" spans="66:96" ht="19" customHeight="1" x14ac:dyDescent="0.35">
      <c r="BN256" s="1" t="str">
        <f t="shared" si="10"/>
        <v>CEMIG|RECEITAS FINANCEIRAS|Variações cambiais – Empréstimos</v>
      </c>
      <c r="BQ256" s="126" t="s">
        <v>154</v>
      </c>
      <c r="BR256" s="142" t="s">
        <v>164</v>
      </c>
      <c r="BS256" s="76">
        <v>0</v>
      </c>
      <c r="BT256" s="76">
        <v>4689</v>
      </c>
      <c r="BU256" s="76">
        <v>-5808</v>
      </c>
      <c r="BV256" s="32">
        <v>5808</v>
      </c>
      <c r="BW256" s="32">
        <v>0</v>
      </c>
      <c r="BX256" s="32">
        <v>0</v>
      </c>
      <c r="BY256" s="32">
        <v>0</v>
      </c>
      <c r="BZ256" s="32">
        <v>42227</v>
      </c>
      <c r="CA256" s="32">
        <v>0</v>
      </c>
      <c r="CB256" s="32">
        <v>0</v>
      </c>
      <c r="CC256" s="32">
        <v>276687</v>
      </c>
      <c r="CD256" s="32">
        <v>0</v>
      </c>
      <c r="CE256" s="32">
        <v>197496</v>
      </c>
      <c r="CF256" s="32">
        <v>103814</v>
      </c>
      <c r="CG256" s="32">
        <v>338265</v>
      </c>
      <c r="CH256" s="32">
        <v>10247</v>
      </c>
      <c r="CI256" s="32">
        <v>0</v>
      </c>
      <c r="CJ256" s="32">
        <v>842700</v>
      </c>
      <c r="CK256" s="32">
        <v>0</v>
      </c>
      <c r="CL256" s="32">
        <v>0</v>
      </c>
      <c r="CM256" s="32">
        <v>1044160</v>
      </c>
      <c r="CN256" s="32">
        <v>0</v>
      </c>
      <c r="CO256" s="32">
        <v>0</v>
      </c>
      <c r="CP256" s="32">
        <v>0</v>
      </c>
      <c r="CQ256" s="32">
        <v>0</v>
      </c>
      <c r="CR256" s="32">
        <v>0</v>
      </c>
    </row>
    <row r="257" spans="66:96" ht="19" customHeight="1" x14ac:dyDescent="0.35">
      <c r="BN257" s="1" t="str">
        <f t="shared" si="10"/>
        <v>CEMIG|RECEITAS FINANCEIRAS|Variação monetária</v>
      </c>
      <c r="BP257" s="392"/>
      <c r="BQ257" s="126" t="s">
        <v>154</v>
      </c>
      <c r="BR257" s="142" t="s">
        <v>165</v>
      </c>
      <c r="BS257" s="76">
        <v>19332</v>
      </c>
      <c r="BT257" s="76">
        <v>33942</v>
      </c>
      <c r="BU257" s="76">
        <v>16018</v>
      </c>
      <c r="BV257" s="32">
        <v>7106</v>
      </c>
      <c r="BW257" s="32">
        <v>12156</v>
      </c>
      <c r="BX257" s="32">
        <v>12407</v>
      </c>
      <c r="BY257" s="32">
        <v>86741</v>
      </c>
      <c r="BZ257" s="32">
        <v>5228</v>
      </c>
      <c r="CA257" s="32">
        <v>8101</v>
      </c>
      <c r="CB257" s="32">
        <v>38801</v>
      </c>
      <c r="CC257" s="32">
        <v>162566</v>
      </c>
      <c r="CD257" s="32">
        <v>41771</v>
      </c>
      <c r="CE257" s="32">
        <v>48074</v>
      </c>
      <c r="CF257" s="32">
        <v>9453</v>
      </c>
      <c r="CG257" s="32">
        <v>108397</v>
      </c>
      <c r="CH257" s="32">
        <v>23661</v>
      </c>
      <c r="CI257" s="32">
        <v>27125</v>
      </c>
      <c r="CJ257" s="32">
        <v>17215</v>
      </c>
      <c r="CK257" s="32">
        <v>67828</v>
      </c>
      <c r="CL257" s="32">
        <v>44894</v>
      </c>
      <c r="CM257" s="32">
        <v>7394</v>
      </c>
      <c r="CN257" s="32">
        <v>6693</v>
      </c>
      <c r="CO257" s="32">
        <v>42323</v>
      </c>
      <c r="CP257" s="32">
        <v>5949</v>
      </c>
      <c r="CQ257" s="32">
        <v>5079</v>
      </c>
      <c r="CR257" s="32">
        <v>3650</v>
      </c>
    </row>
    <row r="258" spans="66:96" ht="19" customHeight="1" x14ac:dyDescent="0.35">
      <c r="BN258" s="1" t="str">
        <f t="shared" si="10"/>
        <v>CEMIG|RECEITAS FINANCEIRAS|Variação monetária – CVA</v>
      </c>
      <c r="BP258" s="392"/>
      <c r="BQ258" s="126" t="s">
        <v>154</v>
      </c>
      <c r="BR258" s="142" t="s">
        <v>166</v>
      </c>
      <c r="BS258" s="76">
        <v>40961</v>
      </c>
      <c r="BT258" s="76">
        <v>45490</v>
      </c>
      <c r="BU258" s="76">
        <v>37610</v>
      </c>
      <c r="BV258" s="32">
        <v>38872</v>
      </c>
      <c r="BW258" s="32">
        <v>13346</v>
      </c>
      <c r="BX258" s="32">
        <v>17773</v>
      </c>
      <c r="BY258" s="32">
        <v>16245</v>
      </c>
      <c r="BZ258" s="32">
        <v>5251</v>
      </c>
      <c r="CA258" s="32">
        <v>0</v>
      </c>
      <c r="CB258" s="32">
        <v>1792</v>
      </c>
      <c r="CC258" s="32">
        <v>76069</v>
      </c>
      <c r="CD258" s="32">
        <v>0</v>
      </c>
      <c r="CE258" s="32">
        <v>65468</v>
      </c>
      <c r="CF258" s="32">
        <v>26610</v>
      </c>
      <c r="CG258" s="32">
        <v>185120</v>
      </c>
      <c r="CH258" s="32">
        <v>38210</v>
      </c>
      <c r="CI258" s="32">
        <v>59217</v>
      </c>
      <c r="CJ258" s="32">
        <v>51999</v>
      </c>
      <c r="CK258" s="32">
        <v>63907</v>
      </c>
      <c r="CL258" s="32">
        <v>21325</v>
      </c>
      <c r="CM258" s="32">
        <v>6927</v>
      </c>
      <c r="CN258" s="32">
        <v>0</v>
      </c>
      <c r="CO258" s="32">
        <v>31949</v>
      </c>
      <c r="CP258" s="32">
        <v>5593</v>
      </c>
      <c r="CQ258" s="32">
        <v>14045</v>
      </c>
      <c r="CR258" s="32">
        <v>11643</v>
      </c>
    </row>
    <row r="259" spans="66:96" ht="19" customHeight="1" x14ac:dyDescent="0.35">
      <c r="BN259" s="1" t="str">
        <f t="shared" si="10"/>
        <v>CEMIG|RECEITAS FINANCEIRAS|Ganhos com instrumentos financeiros - Swap</v>
      </c>
      <c r="BQ259" s="126" t="s">
        <v>154</v>
      </c>
      <c r="BR259" s="142" t="s">
        <v>167</v>
      </c>
      <c r="BS259" s="76">
        <v>0</v>
      </c>
      <c r="BT259" s="76">
        <v>0</v>
      </c>
      <c r="BU259" s="76">
        <v>0</v>
      </c>
      <c r="BV259" s="32">
        <v>0</v>
      </c>
      <c r="BW259" s="32">
        <v>0</v>
      </c>
      <c r="BX259" s="32">
        <v>0</v>
      </c>
      <c r="BY259" s="32">
        <v>146577</v>
      </c>
      <c r="BZ259" s="32">
        <v>13285</v>
      </c>
      <c r="CA259" s="32">
        <v>70018</v>
      </c>
      <c r="CB259" s="32">
        <v>42032</v>
      </c>
      <c r="CC259" s="32">
        <v>0</v>
      </c>
      <c r="CD259" s="32">
        <v>102428</v>
      </c>
      <c r="CE259" s="32">
        <v>0</v>
      </c>
      <c r="CF259" s="32">
        <v>0</v>
      </c>
      <c r="CG259" s="32">
        <v>0</v>
      </c>
      <c r="CH259" s="32">
        <v>100087</v>
      </c>
      <c r="CI259" s="32">
        <v>54620</v>
      </c>
      <c r="CJ259" s="32">
        <v>0</v>
      </c>
      <c r="CK259" s="32">
        <v>0</v>
      </c>
      <c r="CL259" s="32">
        <v>35636</v>
      </c>
      <c r="CM259" s="32">
        <v>0</v>
      </c>
      <c r="CN259" s="32">
        <v>0</v>
      </c>
      <c r="CO259" s="32">
        <v>1752688</v>
      </c>
      <c r="CP259" s="32">
        <v>2651</v>
      </c>
      <c r="CQ259" s="32">
        <v>486720</v>
      </c>
      <c r="CR259" s="32">
        <v>1314240</v>
      </c>
    </row>
    <row r="260" spans="66:96" ht="19" customHeight="1" x14ac:dyDescent="0.35">
      <c r="BN260" s="1" t="str">
        <f t="shared" si="10"/>
        <v>CEMIG|RECEITAS FINANCEIRAS|Variação monetária de depósitos vinculados a litígios</v>
      </c>
      <c r="BP260" s="392"/>
      <c r="BQ260" s="126" t="s">
        <v>154</v>
      </c>
      <c r="BR260" s="142" t="s">
        <v>168</v>
      </c>
      <c r="BS260" s="76">
        <v>20091</v>
      </c>
      <c r="BT260" s="76">
        <v>18049</v>
      </c>
      <c r="BU260" s="76">
        <v>25922</v>
      </c>
      <c r="BV260" s="32">
        <v>24255</v>
      </c>
      <c r="BW260" s="32">
        <v>20203</v>
      </c>
      <c r="BX260" s="32">
        <v>21068</v>
      </c>
      <c r="BY260" s="32">
        <v>68780</v>
      </c>
      <c r="BZ260" s="32">
        <v>17757</v>
      </c>
      <c r="CA260" s="32">
        <v>15307</v>
      </c>
      <c r="CB260" s="32">
        <v>18010</v>
      </c>
      <c r="CC260" s="32">
        <v>81702</v>
      </c>
      <c r="CD260" s="32">
        <v>23389</v>
      </c>
      <c r="CE260" s="32">
        <v>22382</v>
      </c>
      <c r="CF260" s="32">
        <v>15394</v>
      </c>
      <c r="CG260" s="32">
        <v>82310</v>
      </c>
      <c r="CH260" s="32">
        <v>22767</v>
      </c>
      <c r="CI260" s="32">
        <v>18908</v>
      </c>
      <c r="CJ260" s="32">
        <v>14885</v>
      </c>
      <c r="CK260" s="32">
        <v>29018</v>
      </c>
      <c r="CL260" s="32">
        <v>8190</v>
      </c>
      <c r="CM260" s="32">
        <v>4437</v>
      </c>
      <c r="CN260" s="32">
        <v>2507</v>
      </c>
      <c r="CO260" s="32">
        <v>52824</v>
      </c>
      <c r="CP260" s="32">
        <v>270</v>
      </c>
      <c r="CQ260" s="32">
        <v>37682</v>
      </c>
      <c r="CR260" s="32">
        <v>16360</v>
      </c>
    </row>
    <row r="261" spans="66:96" ht="19" customHeight="1" x14ac:dyDescent="0.35">
      <c r="BN261" s="1" t="str">
        <f t="shared" si="10"/>
        <v>CEMIG|RECEITAS FINANCEIRAS|PIS/Pasep e Cofins incidente sobre as receitas financeiras</v>
      </c>
      <c r="BP261" s="392"/>
      <c r="BQ261" s="126" t="s">
        <v>154</v>
      </c>
      <c r="BR261" s="142" t="s">
        <v>169</v>
      </c>
      <c r="BS261" s="76">
        <v>-67550</v>
      </c>
      <c r="BT261" s="76">
        <v>-63939</v>
      </c>
      <c r="BU261" s="76">
        <v>-70999</v>
      </c>
      <c r="BV261" s="32">
        <v>-65483</v>
      </c>
      <c r="BW261" s="32">
        <v>-72060</v>
      </c>
      <c r="BX261" s="32">
        <v>-53056</v>
      </c>
      <c r="BY261" s="32">
        <v>-204826</v>
      </c>
      <c r="BZ261" s="32">
        <v>-49455</v>
      </c>
      <c r="CA261" s="32">
        <v>-48924</v>
      </c>
      <c r="CB261" s="32">
        <v>-41135</v>
      </c>
      <c r="CC261" s="32">
        <v>-196910</v>
      </c>
      <c r="CD261" s="32">
        <v>-49323</v>
      </c>
      <c r="CE261" s="32">
        <v>-48675</v>
      </c>
      <c r="CF261" s="32">
        <v>-43188</v>
      </c>
      <c r="CG261" s="32">
        <v>-116921</v>
      </c>
      <c r="CH261" s="32">
        <v>-37052</v>
      </c>
      <c r="CI261" s="32">
        <v>-23144</v>
      </c>
      <c r="CJ261" s="32">
        <v>-24426</v>
      </c>
      <c r="CK261" s="32">
        <v>-123981</v>
      </c>
      <c r="CL261" s="32">
        <v>-27669</v>
      </c>
      <c r="CM261" s="32">
        <v>-33465</v>
      </c>
      <c r="CN261" s="32">
        <v>-15838</v>
      </c>
      <c r="CO261" s="32">
        <v>-96464</v>
      </c>
      <c r="CP261" s="32">
        <v>-22474</v>
      </c>
      <c r="CQ261" s="32">
        <v>-7018</v>
      </c>
      <c r="CR261" s="32">
        <v>-8794</v>
      </c>
    </row>
    <row r="262" spans="66:96" ht="19" customHeight="1" x14ac:dyDescent="0.35">
      <c r="BN262" s="1" t="str">
        <f t="shared" si="10"/>
        <v>CEMIG|RECEITAS FINANCEIRAS|Rendas de antecipação de pagamento</v>
      </c>
      <c r="BP262" s="392"/>
      <c r="BQ262" s="126" t="s">
        <v>154</v>
      </c>
      <c r="BR262" s="142" t="s">
        <v>170</v>
      </c>
      <c r="BS262" s="76">
        <v>15107</v>
      </c>
      <c r="BT262" s="76">
        <v>768</v>
      </c>
      <c r="BU262" s="76">
        <v>744</v>
      </c>
      <c r="BV262" s="32">
        <v>590</v>
      </c>
      <c r="BW262" s="32">
        <v>933</v>
      </c>
      <c r="BX262" s="32">
        <v>603</v>
      </c>
      <c r="BY262" s="32">
        <v>5080</v>
      </c>
      <c r="BZ262" s="32">
        <v>943</v>
      </c>
      <c r="CA262" s="32">
        <v>1278</v>
      </c>
      <c r="CB262" s="32">
        <v>1178</v>
      </c>
      <c r="CC262" s="32">
        <v>4486</v>
      </c>
      <c r="CD262" s="32">
        <v>1348</v>
      </c>
      <c r="CE262" s="32">
        <v>483</v>
      </c>
      <c r="CF262" s="32">
        <v>1029</v>
      </c>
      <c r="CG262" s="32">
        <v>4729</v>
      </c>
      <c r="CH262" s="32">
        <v>1612</v>
      </c>
      <c r="CI262" s="32">
        <v>980</v>
      </c>
      <c r="CJ262" s="32">
        <v>469</v>
      </c>
      <c r="CK262" s="32">
        <v>0</v>
      </c>
      <c r="CL262" s="32">
        <v>0</v>
      </c>
      <c r="CM262" s="32">
        <v>0</v>
      </c>
      <c r="CN262" s="32">
        <v>0</v>
      </c>
      <c r="CO262" s="32">
        <v>0</v>
      </c>
      <c r="CP262" s="32">
        <v>0</v>
      </c>
      <c r="CQ262" s="32">
        <v>0</v>
      </c>
      <c r="CR262" s="32">
        <v>0</v>
      </c>
    </row>
    <row r="263" spans="66:96" ht="19" customHeight="1" x14ac:dyDescent="0.35">
      <c r="BN263" s="1" t="str">
        <f t="shared" si="10"/>
        <v>CEMIG|RECEITAS FINANCEIRAS|Encargos de créditos com partes relacionadas</v>
      </c>
      <c r="BP263" s="392"/>
      <c r="BQ263" s="126" t="s">
        <v>154</v>
      </c>
      <c r="BR263" s="142" t="s">
        <v>171</v>
      </c>
      <c r="BS263" s="76">
        <v>0</v>
      </c>
      <c r="BT263" s="76">
        <v>0</v>
      </c>
      <c r="BU263" s="76">
        <v>0</v>
      </c>
      <c r="BV263" s="32">
        <v>0</v>
      </c>
      <c r="BW263" s="32">
        <v>0</v>
      </c>
      <c r="BX263" s="32">
        <v>0</v>
      </c>
      <c r="BY263" s="32">
        <v>0</v>
      </c>
      <c r="BZ263" s="32">
        <v>0</v>
      </c>
      <c r="CA263" s="32">
        <v>0</v>
      </c>
      <c r="CB263" s="32">
        <v>0</v>
      </c>
      <c r="CC263" s="32">
        <v>0</v>
      </c>
      <c r="CD263" s="32">
        <v>0</v>
      </c>
      <c r="CE263" s="32">
        <v>0</v>
      </c>
      <c r="CF263" s="32">
        <v>0</v>
      </c>
      <c r="CG263" s="32">
        <v>0</v>
      </c>
      <c r="CH263" s="32">
        <v>0</v>
      </c>
      <c r="CI263" s="32">
        <v>0</v>
      </c>
      <c r="CJ263" s="32">
        <v>0</v>
      </c>
      <c r="CK263" s="32">
        <v>1752</v>
      </c>
      <c r="CL263" s="32">
        <v>1752</v>
      </c>
      <c r="CM263" s="32">
        <v>0</v>
      </c>
      <c r="CN263" s="32">
        <v>0</v>
      </c>
      <c r="CO263" s="32">
        <v>30300</v>
      </c>
      <c r="CP263" s="32">
        <v>16751</v>
      </c>
      <c r="CQ263" s="32">
        <v>0</v>
      </c>
      <c r="CR263" s="32">
        <v>0</v>
      </c>
    </row>
    <row r="264" spans="66:96" ht="19" customHeight="1" x14ac:dyDescent="0.35">
      <c r="BN264" s="1" t="str">
        <f t="shared" si="10"/>
        <v>CEMIG|RECEITAS FINANCEIRAS|Atualização dos créditos de PIS/Pasep e Cofins sobre ICMS</v>
      </c>
      <c r="BP264" s="392"/>
      <c r="BQ264" s="126" t="s">
        <v>154</v>
      </c>
      <c r="BR264" s="142" t="s">
        <v>172</v>
      </c>
      <c r="BS264" s="76">
        <v>6917</v>
      </c>
      <c r="BT264" s="76">
        <v>8795</v>
      </c>
      <c r="BU264" s="76">
        <v>7490</v>
      </c>
      <c r="BV264" s="32">
        <v>31486</v>
      </c>
      <c r="BW264" s="32">
        <v>4345</v>
      </c>
      <c r="BX264" s="32">
        <v>6194</v>
      </c>
      <c r="BY264" s="32">
        <v>391646</v>
      </c>
      <c r="BZ264" s="32">
        <v>5337</v>
      </c>
      <c r="CA264" s="32">
        <v>406414</v>
      </c>
      <c r="CB264" s="32">
        <v>0</v>
      </c>
      <c r="CC264" s="32">
        <v>0</v>
      </c>
      <c r="CD264" s="32">
        <v>0</v>
      </c>
      <c r="CE264" s="32">
        <v>0</v>
      </c>
      <c r="CF264" s="32">
        <v>25548</v>
      </c>
      <c r="CG264" s="32">
        <v>0</v>
      </c>
      <c r="CH264" s="32">
        <v>0</v>
      </c>
      <c r="CI264" s="32">
        <v>0</v>
      </c>
      <c r="CJ264" s="32">
        <v>-375</v>
      </c>
      <c r="CK264" s="32">
        <v>19837</v>
      </c>
      <c r="CL264" s="32">
        <v>427</v>
      </c>
      <c r="CM264" s="32">
        <v>24911</v>
      </c>
      <c r="CN264" s="32">
        <v>0</v>
      </c>
      <c r="CO264" s="32">
        <v>41694</v>
      </c>
      <c r="CP264" s="32">
        <v>7196</v>
      </c>
      <c r="CQ264" s="32">
        <v>12243</v>
      </c>
      <c r="CR264" s="32">
        <v>14849</v>
      </c>
    </row>
    <row r="265" spans="66:96" ht="19" customHeight="1" x14ac:dyDescent="0.35">
      <c r="BN265" s="1" t="str">
        <f t="shared" si="10"/>
        <v>CEMIG|RECEITAS FINANCEIRAS|Atualização crédito IRPJ sobre PAT</v>
      </c>
      <c r="BQ265" s="126" t="s">
        <v>154</v>
      </c>
      <c r="BR265" s="142" t="s">
        <v>173</v>
      </c>
      <c r="BS265" s="76">
        <v>105</v>
      </c>
      <c r="BT265" s="76">
        <v>380</v>
      </c>
      <c r="BU265" s="76">
        <v>700</v>
      </c>
      <c r="BV265" s="32">
        <v>997</v>
      </c>
      <c r="BW265" s="32">
        <v>2185</v>
      </c>
      <c r="BX265" s="32">
        <v>1062</v>
      </c>
      <c r="BY265" s="32">
        <v>59001</v>
      </c>
      <c r="BZ265" s="32">
        <v>797</v>
      </c>
      <c r="CA265" s="32">
        <v>50191</v>
      </c>
      <c r="CB265" s="32">
        <v>0</v>
      </c>
      <c r="CC265" s="32">
        <v>0</v>
      </c>
      <c r="CD265" s="32">
        <v>0</v>
      </c>
      <c r="CE265" s="32">
        <v>0</v>
      </c>
      <c r="CF265" s="32">
        <v>0</v>
      </c>
      <c r="CG265" s="32">
        <v>0</v>
      </c>
      <c r="CH265" s="32">
        <v>0</v>
      </c>
      <c r="CI265" s="32">
        <v>0</v>
      </c>
      <c r="CJ265" s="32">
        <v>0</v>
      </c>
      <c r="CK265" s="32">
        <v>0</v>
      </c>
      <c r="CL265" s="32">
        <v>0</v>
      </c>
      <c r="CM265" s="32">
        <v>0</v>
      </c>
      <c r="CN265" s="32">
        <v>0</v>
      </c>
      <c r="CO265" s="32">
        <v>0</v>
      </c>
      <c r="CP265" s="32">
        <v>0</v>
      </c>
      <c r="CQ265" s="32">
        <v>0</v>
      </c>
      <c r="CR265" s="32">
        <v>0</v>
      </c>
    </row>
    <row r="266" spans="66:96" ht="19" customHeight="1" x14ac:dyDescent="0.35">
      <c r="BN266" s="1" t="str">
        <f t="shared" si="10"/>
        <v>CEMIG|RECEITAS FINANCEIRAS|Outras receitas financeiras</v>
      </c>
      <c r="BP266" s="392"/>
      <c r="BQ266" s="126" t="s">
        <v>154</v>
      </c>
      <c r="BR266" s="142" t="s">
        <v>174</v>
      </c>
      <c r="BS266" s="76">
        <v>35345</v>
      </c>
      <c r="BT266" s="76">
        <v>33284</v>
      </c>
      <c r="BU266" s="76">
        <v>30998</v>
      </c>
      <c r="BV266" s="32">
        <v>27739</v>
      </c>
      <c r="BW266" s="32">
        <v>35955</v>
      </c>
      <c r="BX266" s="32">
        <v>23127</v>
      </c>
      <c r="BY266" s="32">
        <v>125710</v>
      </c>
      <c r="BZ266" s="32">
        <v>43699</v>
      </c>
      <c r="CA266" s="32">
        <v>32385</v>
      </c>
      <c r="CB266" s="32">
        <v>17372</v>
      </c>
      <c r="CC266" s="32">
        <v>122682</v>
      </c>
      <c r="CD266" s="32">
        <v>38599</v>
      </c>
      <c r="CE266" s="32">
        <v>29660</v>
      </c>
      <c r="CF266" s="32">
        <v>22748</v>
      </c>
      <c r="CG266" s="32">
        <v>75400</v>
      </c>
      <c r="CH266" s="32">
        <v>18143</v>
      </c>
      <c r="CI266" s="32">
        <v>16629</v>
      </c>
      <c r="CJ266" s="32">
        <v>13560</v>
      </c>
      <c r="CK266" s="32">
        <v>82911</v>
      </c>
      <c r="CL266" s="32">
        <v>12443</v>
      </c>
      <c r="CM266" s="32">
        <v>25561</v>
      </c>
      <c r="CN266" s="32">
        <v>14656</v>
      </c>
      <c r="CO266" s="32">
        <v>95905</v>
      </c>
      <c r="CP266" s="32">
        <v>21286</v>
      </c>
      <c r="CQ266" s="32">
        <v>15152</v>
      </c>
      <c r="CR266" s="32">
        <v>20549</v>
      </c>
    </row>
    <row r="267" spans="66:96" ht="25" customHeight="1" x14ac:dyDescent="0.35">
      <c r="BN267" s="81" t="str">
        <f>BR267</f>
        <v>DESPESAS FINANCEIRAS</v>
      </c>
      <c r="BO267" s="81"/>
      <c r="BP267" s="81"/>
      <c r="BQ267" s="126" t="s">
        <v>154</v>
      </c>
      <c r="BR267" s="141" t="s">
        <v>175</v>
      </c>
      <c r="BS267" s="46">
        <f>SUM(BS268:BS285)</f>
        <v>-1086094</v>
      </c>
      <c r="BT267" s="46">
        <f>SUM(BT268:BT285)</f>
        <v>-596384</v>
      </c>
      <c r="BU267" s="46">
        <f>SUM(BU268:BU285)</f>
        <v>-540689</v>
      </c>
      <c r="BV267" s="46">
        <f t="shared" ref="BV267:CR267" si="11">SUM(BV268:BV285)</f>
        <v>-533005</v>
      </c>
      <c r="BW267" s="46">
        <f t="shared" si="11"/>
        <v>-615031</v>
      </c>
      <c r="BX267" s="46">
        <f t="shared" si="11"/>
        <v>-443168</v>
      </c>
      <c r="BY267" s="46">
        <f t="shared" si="11"/>
        <v>-1950788</v>
      </c>
      <c r="BZ267" s="46">
        <f t="shared" si="11"/>
        <v>-324110</v>
      </c>
      <c r="CA267" s="46">
        <f t="shared" si="11"/>
        <v>-607355</v>
      </c>
      <c r="CB267" s="46">
        <f t="shared" si="11"/>
        <v>-399231</v>
      </c>
      <c r="CC267" s="46">
        <f t="shared" si="11"/>
        <v>-1651045</v>
      </c>
      <c r="CD267" s="46">
        <f t="shared" si="11"/>
        <v>-560530</v>
      </c>
      <c r="CE267" s="46">
        <f t="shared" si="11"/>
        <v>-472321</v>
      </c>
      <c r="CF267" s="46">
        <f t="shared" si="11"/>
        <v>-435698</v>
      </c>
      <c r="CG267" s="46">
        <f t="shared" si="11"/>
        <v>-3066415</v>
      </c>
      <c r="CH267" s="46">
        <f t="shared" si="11"/>
        <v>-521209</v>
      </c>
      <c r="CI267" s="46">
        <f t="shared" si="11"/>
        <v>-1233880</v>
      </c>
      <c r="CJ267" s="46">
        <f t="shared" si="11"/>
        <v>-794862</v>
      </c>
      <c r="CK267" s="46">
        <f t="shared" si="11"/>
        <v>-3096299</v>
      </c>
      <c r="CL267" s="46">
        <f t="shared" si="11"/>
        <v>-1434317</v>
      </c>
      <c r="CM267" s="46">
        <f t="shared" si="11"/>
        <v>-809897</v>
      </c>
      <c r="CN267" s="46">
        <f t="shared" si="11"/>
        <v>-1419635</v>
      </c>
      <c r="CO267" s="46">
        <f t="shared" si="11"/>
        <v>-3350864</v>
      </c>
      <c r="CP267" s="46">
        <f t="shared" si="11"/>
        <v>-661987</v>
      </c>
      <c r="CQ267" s="46">
        <f t="shared" si="11"/>
        <v>-705395</v>
      </c>
      <c r="CR267" s="46">
        <f t="shared" si="11"/>
        <v>-2209481</v>
      </c>
    </row>
    <row r="268" spans="66:96" ht="19" customHeight="1" x14ac:dyDescent="0.35">
      <c r="BN268" s="1" t="str">
        <f>_xlfn.CONCAT($BR$249,"|",$BR$267,"|",$BR268)</f>
        <v>CEMIG|DESPESAS FINANCEIRAS|Encargos de debêntures</v>
      </c>
      <c r="BP268" s="392"/>
      <c r="BQ268" s="126" t="s">
        <v>154</v>
      </c>
      <c r="BR268" s="6" t="s">
        <v>176</v>
      </c>
      <c r="BS268" s="50">
        <v>-480171</v>
      </c>
      <c r="BT268" s="50">
        <v>-445553</v>
      </c>
      <c r="BU268" s="50">
        <v>-436624</v>
      </c>
      <c r="BV268" s="50">
        <v>-423345</v>
      </c>
      <c r="BW268" s="50">
        <v>-383331</v>
      </c>
      <c r="BX268" s="50">
        <v>-260107</v>
      </c>
      <c r="BY268" s="50">
        <v>-989664</v>
      </c>
      <c r="BZ268" s="50">
        <v>-237288</v>
      </c>
      <c r="CA268" s="50">
        <v>-240729</v>
      </c>
      <c r="CB268" s="50">
        <v>-218669</v>
      </c>
      <c r="CC268" s="50">
        <v>-1012883</v>
      </c>
      <c r="CD268" s="50">
        <v>-279597</v>
      </c>
      <c r="CE268" s="50">
        <v>-233372</v>
      </c>
      <c r="CF268" s="50">
        <v>-242347</v>
      </c>
      <c r="CG268" s="50">
        <v>-928179</v>
      </c>
      <c r="CH268" s="50">
        <v>-233923</v>
      </c>
      <c r="CI268" s="50">
        <v>-235945</v>
      </c>
      <c r="CJ268" s="50">
        <v>-223723</v>
      </c>
      <c r="CK268" s="50">
        <v>-1146682</v>
      </c>
      <c r="CL268" s="50">
        <v>-294081</v>
      </c>
      <c r="CM268" s="50">
        <v>-263305</v>
      </c>
      <c r="CN268" s="50">
        <v>-326027</v>
      </c>
      <c r="CO268" s="50">
        <v>-1177769</v>
      </c>
      <c r="CP268" s="50">
        <v>-312605</v>
      </c>
      <c r="CQ268" s="50">
        <v>-271806</v>
      </c>
      <c r="CR268" s="50">
        <v>-311300</v>
      </c>
    </row>
    <row r="269" spans="66:96" ht="19" customHeight="1" x14ac:dyDescent="0.35">
      <c r="BN269" s="1" t="str">
        <f t="shared" ref="BN269:BN285" si="12">_xlfn.CONCAT($BR$249,"|",$BR$267,"|",$BR269)</f>
        <v>CEMIG|DESPESAS FINANCEIRAS|Amortização do custo de transação</v>
      </c>
      <c r="BP269" s="392"/>
      <c r="BQ269" s="126" t="s">
        <v>154</v>
      </c>
      <c r="BR269" s="6" t="s">
        <v>177</v>
      </c>
      <c r="BS269" s="50">
        <v>-9575</v>
      </c>
      <c r="BT269" s="50">
        <v>-9412</v>
      </c>
      <c r="BU269" s="50">
        <v>-8697</v>
      </c>
      <c r="BV269" s="50">
        <v>-6979</v>
      </c>
      <c r="BW269" s="50">
        <v>-6878</v>
      </c>
      <c r="BX269" s="50">
        <v>-5553</v>
      </c>
      <c r="BY269" s="50">
        <v>-18752</v>
      </c>
      <c r="BZ269" s="50">
        <v>-4508</v>
      </c>
      <c r="CA269" s="50">
        <v>-4603</v>
      </c>
      <c r="CB269" s="50">
        <v>-3789</v>
      </c>
      <c r="CC269" s="50">
        <v>-13908</v>
      </c>
      <c r="CD269" s="50">
        <v>-3457</v>
      </c>
      <c r="CE269" s="50">
        <v>-2656</v>
      </c>
      <c r="CF269" s="50">
        <v>-3542</v>
      </c>
      <c r="CG269" s="50">
        <v>-7422</v>
      </c>
      <c r="CH269" s="50">
        <v>-2088</v>
      </c>
      <c r="CI269" s="50">
        <v>-1610</v>
      </c>
      <c r="CJ269" s="50">
        <v>-1600</v>
      </c>
      <c r="CK269" s="50">
        <v>-20456</v>
      </c>
      <c r="CL269" s="50">
        <v>-6264</v>
      </c>
      <c r="CM269" s="50">
        <v>-8469</v>
      </c>
      <c r="CN269" s="50">
        <v>-4137</v>
      </c>
      <c r="CO269" s="50">
        <v>-15107</v>
      </c>
      <c r="CP269" s="50">
        <v>-3809</v>
      </c>
      <c r="CQ269" s="50">
        <v>-3556</v>
      </c>
      <c r="CR269" s="50">
        <v>-3545</v>
      </c>
    </row>
    <row r="270" spans="66:96" ht="19" customHeight="1" x14ac:dyDescent="0.35">
      <c r="BN270" s="1" t="str">
        <f t="shared" si="12"/>
        <v>CEMIG|DESPESAS FINANCEIRAS|Variação cambial de empréstimo, líquido de derivativo</v>
      </c>
      <c r="BQ270" s="126" t="s">
        <v>154</v>
      </c>
      <c r="BR270" s="6" t="s">
        <v>178</v>
      </c>
      <c r="BS270" s="50">
        <v>0</v>
      </c>
      <c r="BT270" s="50">
        <v>0</v>
      </c>
      <c r="BU270" s="50">
        <v>-10564</v>
      </c>
      <c r="BV270" s="50">
        <v>0</v>
      </c>
      <c r="BW270" s="50">
        <v>0</v>
      </c>
      <c r="BX270" s="50">
        <v>0</v>
      </c>
      <c r="BY270" s="50">
        <v>0</v>
      </c>
      <c r="BZ270" s="50">
        <v>0</v>
      </c>
      <c r="CA270" s="50">
        <v>0</v>
      </c>
      <c r="CB270" s="50">
        <v>0</v>
      </c>
      <c r="CC270" s="50">
        <v>0</v>
      </c>
      <c r="CD270" s="50">
        <v>0</v>
      </c>
      <c r="CE270" s="50">
        <v>0</v>
      </c>
      <c r="CF270" s="50">
        <v>0</v>
      </c>
      <c r="CG270" s="50">
        <v>0</v>
      </c>
      <c r="CH270" s="50">
        <v>0</v>
      </c>
      <c r="CI270" s="50">
        <v>0</v>
      </c>
      <c r="CJ270" s="50">
        <v>0</v>
      </c>
      <c r="CK270" s="50">
        <v>0</v>
      </c>
      <c r="CL270" s="50">
        <v>0</v>
      </c>
      <c r="CM270" s="50">
        <v>0</v>
      </c>
      <c r="CN270" s="50">
        <v>0</v>
      </c>
      <c r="CO270" s="50">
        <v>0</v>
      </c>
      <c r="CP270" s="50">
        <v>0</v>
      </c>
      <c r="CQ270" s="50">
        <v>0</v>
      </c>
      <c r="CR270" s="50">
        <v>0</v>
      </c>
    </row>
    <row r="271" spans="66:96" ht="19" customHeight="1" x14ac:dyDescent="0.35">
      <c r="BN271" s="1" t="str">
        <f t="shared" si="12"/>
        <v>CEMIG|DESPESAS FINANCEIRAS|Variação Cambial - Eurobond</v>
      </c>
      <c r="BQ271" s="126" t="s">
        <v>154</v>
      </c>
      <c r="BR271" s="6" t="s">
        <v>179</v>
      </c>
      <c r="BS271" s="50">
        <v>0</v>
      </c>
      <c r="BT271" s="50">
        <v>0</v>
      </c>
      <c r="BU271" s="50">
        <v>0</v>
      </c>
      <c r="BV271" s="50">
        <v>0</v>
      </c>
      <c r="BW271" s="50">
        <v>0</v>
      </c>
      <c r="BX271" s="50">
        <v>0</v>
      </c>
      <c r="BY271" s="50">
        <v>-463887</v>
      </c>
      <c r="BZ271" s="50">
        <v>0</v>
      </c>
      <c r="CA271" s="50">
        <v>-214451</v>
      </c>
      <c r="CB271" s="50">
        <v>-59034</v>
      </c>
      <c r="CC271" s="50">
        <v>0</v>
      </c>
      <c r="CD271" s="50">
        <v>-142451</v>
      </c>
      <c r="CE271" s="50">
        <v>0</v>
      </c>
      <c r="CF271" s="50">
        <v>0</v>
      </c>
      <c r="CG271" s="50">
        <v>0</v>
      </c>
      <c r="CH271" s="50">
        <v>-168600</v>
      </c>
      <c r="CI271" s="50">
        <v>-500200</v>
      </c>
      <c r="CJ271" s="50">
        <v>0</v>
      </c>
      <c r="CK271" s="50">
        <v>-353321</v>
      </c>
      <c r="CL271" s="50">
        <v>-504600</v>
      </c>
      <c r="CM271" s="50">
        <v>0</v>
      </c>
      <c r="CN271" s="50">
        <v>-751781</v>
      </c>
      <c r="CO271" s="50">
        <v>-1742494</v>
      </c>
      <c r="CP271" s="50">
        <v>-247294</v>
      </c>
      <c r="CQ271" s="50">
        <v>-405828</v>
      </c>
      <c r="CR271" s="50">
        <v>-1756536</v>
      </c>
    </row>
    <row r="272" spans="66:96" ht="19" customHeight="1" x14ac:dyDescent="0.35">
      <c r="BN272" s="1" t="str">
        <f t="shared" si="12"/>
        <v>CEMIG|DESPESAS FINANCEIRAS|Ágio na recompra de títulos de dívida (Eurobonds)</v>
      </c>
      <c r="BQ272" s="126" t="s">
        <v>154</v>
      </c>
      <c r="BR272" s="6" t="s">
        <v>180</v>
      </c>
      <c r="BS272" s="50">
        <v>0</v>
      </c>
      <c r="BT272" s="50">
        <v>0</v>
      </c>
      <c r="BU272" s="50">
        <v>0</v>
      </c>
      <c r="BV272" s="50">
        <v>0</v>
      </c>
      <c r="BW272" s="50">
        <v>0</v>
      </c>
      <c r="BX272" s="50">
        <v>0</v>
      </c>
      <c r="BY272" s="50">
        <v>0</v>
      </c>
      <c r="BZ272" s="50">
        <v>0</v>
      </c>
      <c r="CA272" s="50">
        <v>0</v>
      </c>
      <c r="CB272" s="50">
        <v>0</v>
      </c>
      <c r="CC272" s="50">
        <v>0</v>
      </c>
      <c r="CD272" s="50">
        <v>0</v>
      </c>
      <c r="CE272" s="50">
        <v>0</v>
      </c>
      <c r="CF272" s="50">
        <v>0</v>
      </c>
      <c r="CG272" s="50">
        <v>-46763</v>
      </c>
      <c r="CH272" s="50">
        <v>0</v>
      </c>
      <c r="CI272" s="50">
        <v>0</v>
      </c>
      <c r="CJ272" s="50">
        <v>0</v>
      </c>
      <c r="CK272" s="50">
        <v>-491037</v>
      </c>
      <c r="CL272" s="50">
        <v>-491036</v>
      </c>
      <c r="CM272" s="50">
        <v>0</v>
      </c>
      <c r="CN272" s="50">
        <v>0</v>
      </c>
      <c r="CO272" s="50">
        <v>0</v>
      </c>
      <c r="CP272" s="50">
        <v>0</v>
      </c>
      <c r="CQ272" s="50">
        <v>0</v>
      </c>
      <c r="CR272" s="50">
        <v>0</v>
      </c>
    </row>
    <row r="273" spans="66:96" ht="19" customHeight="1" x14ac:dyDescent="0.35">
      <c r="BN273" s="1" t="str">
        <f t="shared" si="12"/>
        <v>CEMIG|DESPESAS FINANCEIRAS|Variações cambiais – Itaipu Binacional</v>
      </c>
      <c r="BP273" s="392"/>
      <c r="BQ273" s="126" t="s">
        <v>154</v>
      </c>
      <c r="BR273" s="6" t="s">
        <v>163</v>
      </c>
      <c r="BS273" s="50">
        <v>0</v>
      </c>
      <c r="BT273" s="50">
        <v>0</v>
      </c>
      <c r="BU273" s="50">
        <v>0</v>
      </c>
      <c r="BV273" s="50">
        <v>0</v>
      </c>
      <c r="BW273" s="50">
        <v>0</v>
      </c>
      <c r="BX273" s="50">
        <v>0</v>
      </c>
      <c r="BY273" s="50">
        <v>-37473</v>
      </c>
      <c r="BZ273" s="50">
        <v>-8958</v>
      </c>
      <c r="CA273" s="50">
        <v>-8561</v>
      </c>
      <c r="CB273" s="50">
        <v>-2345</v>
      </c>
      <c r="CC273" s="50">
        <v>0</v>
      </c>
      <c r="CD273" s="50">
        <v>-2465</v>
      </c>
      <c r="CE273" s="50">
        <v>0</v>
      </c>
      <c r="CF273" s="50">
        <v>0</v>
      </c>
      <c r="CG273" s="50">
        <v>0</v>
      </c>
      <c r="CH273" s="50">
        <v>-30056</v>
      </c>
      <c r="CI273" s="50">
        <v>0</v>
      </c>
      <c r="CJ273" s="50">
        <v>0</v>
      </c>
      <c r="CK273" s="50">
        <v>-26757</v>
      </c>
      <c r="CL273" s="50">
        <v>-17752</v>
      </c>
      <c r="CM273" s="50">
        <v>0</v>
      </c>
      <c r="CN273" s="50">
        <v>-16963</v>
      </c>
      <c r="CO273" s="50">
        <v>-46777</v>
      </c>
      <c r="CP273" s="50">
        <v>-5672</v>
      </c>
      <c r="CQ273" s="50">
        <v>-32457</v>
      </c>
      <c r="CR273" s="50">
        <v>-34009</v>
      </c>
    </row>
    <row r="274" spans="66:96" ht="19" customHeight="1" x14ac:dyDescent="0.35">
      <c r="BN274" s="1" t="str">
        <f t="shared" si="12"/>
        <v>CEMIG|DESPESAS FINANCEIRAS|Variação cambiais - Debêntures</v>
      </c>
      <c r="BQ274" s="126" t="s">
        <v>154</v>
      </c>
      <c r="BR274" s="6" t="s">
        <v>181</v>
      </c>
      <c r="BS274" s="50">
        <v>0</v>
      </c>
      <c r="BT274" s="50">
        <v>0</v>
      </c>
      <c r="BU274" s="50">
        <v>0</v>
      </c>
      <c r="BV274" s="50">
        <v>0</v>
      </c>
      <c r="BW274" s="50">
        <v>0</v>
      </c>
      <c r="BX274" s="50">
        <v>0</v>
      </c>
      <c r="BY274" s="50">
        <v>0</v>
      </c>
      <c r="BZ274" s="50">
        <v>0</v>
      </c>
      <c r="CA274" s="50">
        <v>0</v>
      </c>
      <c r="CB274" s="50">
        <v>0</v>
      </c>
      <c r="CC274" s="50">
        <v>0</v>
      </c>
      <c r="CD274" s="50">
        <v>0</v>
      </c>
      <c r="CE274" s="50">
        <v>0</v>
      </c>
      <c r="CF274" s="50">
        <v>0</v>
      </c>
      <c r="CG274" s="50">
        <v>0</v>
      </c>
      <c r="CH274" s="50">
        <v>0</v>
      </c>
      <c r="CI274" s="50">
        <v>0</v>
      </c>
      <c r="CJ274" s="50">
        <v>0</v>
      </c>
      <c r="CK274" s="50">
        <v>0</v>
      </c>
      <c r="CL274" s="50">
        <v>0</v>
      </c>
      <c r="CM274" s="50">
        <v>0</v>
      </c>
      <c r="CN274" s="50">
        <v>0</v>
      </c>
      <c r="CO274" s="50">
        <v>0</v>
      </c>
      <c r="CP274" s="50">
        <v>0</v>
      </c>
      <c r="CQ274" s="50">
        <v>0</v>
      </c>
      <c r="CR274" s="50">
        <v>0</v>
      </c>
    </row>
    <row r="275" spans="66:96" ht="19" customHeight="1" x14ac:dyDescent="0.35">
      <c r="BN275" s="1" t="str">
        <f t="shared" si="12"/>
        <v>CEMIG|DESPESAS FINANCEIRAS|Variação monetária – Debêntures</v>
      </c>
      <c r="BP275" s="392"/>
      <c r="BQ275" s="126" t="s">
        <v>154</v>
      </c>
      <c r="BR275" s="6" t="s">
        <v>182</v>
      </c>
      <c r="BS275" s="50">
        <v>-237148</v>
      </c>
      <c r="BT275" s="50">
        <v>-98753</v>
      </c>
      <c r="BU275" s="50">
        <v>-53891</v>
      </c>
      <c r="BV275" s="50">
        <v>-45518</v>
      </c>
      <c r="BW275" s="50">
        <v>-61762</v>
      </c>
      <c r="BX275" s="50">
        <v>-125093</v>
      </c>
      <c r="BY275" s="50">
        <v>-247621</v>
      </c>
      <c r="BZ275" s="50">
        <v>-40415</v>
      </c>
      <c r="CA275" s="50">
        <v>-52877</v>
      </c>
      <c r="CB275" s="50">
        <v>-54925</v>
      </c>
      <c r="CC275" s="50">
        <v>-148404</v>
      </c>
      <c r="CD275" s="50">
        <v>-26817</v>
      </c>
      <c r="CE275" s="50">
        <v>-21593</v>
      </c>
      <c r="CF275" s="50">
        <v>-71950</v>
      </c>
      <c r="CG275" s="50">
        <v>-166910</v>
      </c>
      <c r="CH275" s="50">
        <v>0</v>
      </c>
      <c r="CI275" s="50">
        <v>-77589</v>
      </c>
      <c r="CJ275" s="50">
        <v>-65249</v>
      </c>
      <c r="CK275" s="50">
        <v>-330114</v>
      </c>
      <c r="CL275" s="50">
        <v>-78413</v>
      </c>
      <c r="CM275" s="50">
        <v>-58405</v>
      </c>
      <c r="CN275" s="50">
        <v>-84174</v>
      </c>
      <c r="CO275" s="50">
        <v>-186610</v>
      </c>
      <c r="CP275" s="50">
        <v>-45642</v>
      </c>
      <c r="CQ275" s="50">
        <v>32467</v>
      </c>
      <c r="CR275" s="50">
        <v>-68445</v>
      </c>
    </row>
    <row r="276" spans="66:96" ht="19" customHeight="1" x14ac:dyDescent="0.35">
      <c r="BN276" s="1" t="str">
        <f t="shared" si="12"/>
        <v>CEMIG|DESPESAS FINANCEIRAS|Variação monetária – CVA</v>
      </c>
      <c r="BQ276" s="126" t="s">
        <v>154</v>
      </c>
      <c r="BR276" s="6" t="s">
        <v>166</v>
      </c>
      <c r="BS276" s="50">
        <v>0</v>
      </c>
      <c r="BT276" s="50">
        <v>0</v>
      </c>
      <c r="BU276" s="50">
        <v>0</v>
      </c>
      <c r="BV276" s="50">
        <v>0</v>
      </c>
      <c r="BW276" s="50">
        <v>0</v>
      </c>
      <c r="BX276" s="50">
        <v>0</v>
      </c>
      <c r="BY276" s="50">
        <v>0</v>
      </c>
      <c r="BZ276" s="50">
        <v>0</v>
      </c>
      <c r="CA276" s="50">
        <v>-2720</v>
      </c>
      <c r="CB276" s="50">
        <v>0</v>
      </c>
      <c r="CC276" s="50">
        <v>0</v>
      </c>
      <c r="CD276" s="50">
        <v>-10973</v>
      </c>
      <c r="CE276" s="50">
        <v>0</v>
      </c>
      <c r="CF276" s="50">
        <v>0</v>
      </c>
      <c r="CG276" s="50">
        <v>0</v>
      </c>
      <c r="CH276" s="50">
        <v>0</v>
      </c>
      <c r="CI276" s="50">
        <v>0</v>
      </c>
      <c r="CJ276" s="50">
        <v>0</v>
      </c>
      <c r="CK276" s="50">
        <v>0</v>
      </c>
      <c r="CL276" s="50">
        <v>0</v>
      </c>
      <c r="CM276" s="50">
        <v>0</v>
      </c>
      <c r="CN276" s="50">
        <v>0</v>
      </c>
      <c r="CO276" s="50">
        <v>0</v>
      </c>
      <c r="CP276" s="50">
        <v>0</v>
      </c>
      <c r="CQ276" s="50">
        <v>0</v>
      </c>
      <c r="CR276" s="50">
        <v>0</v>
      </c>
    </row>
    <row r="277" spans="66:96" ht="19" customHeight="1" x14ac:dyDescent="0.35">
      <c r="BN277" s="1" t="str">
        <f t="shared" si="12"/>
        <v>CEMIG|DESPESAS FINANCEIRAS|Variação monetária – Concessão onerosa</v>
      </c>
      <c r="BQ277" s="126" t="s">
        <v>154</v>
      </c>
      <c r="BR277" s="6" t="s">
        <v>183</v>
      </c>
      <c r="BS277" s="50">
        <v>0</v>
      </c>
      <c r="BT277" s="50">
        <v>0</v>
      </c>
      <c r="BU277" s="50">
        <v>0</v>
      </c>
      <c r="BV277" s="50">
        <v>0</v>
      </c>
      <c r="BW277" s="50">
        <v>0</v>
      </c>
      <c r="BX277" s="50">
        <v>0</v>
      </c>
      <c r="BY277" s="50">
        <v>0</v>
      </c>
      <c r="BZ277" s="50">
        <v>0</v>
      </c>
      <c r="CA277" s="50">
        <v>0</v>
      </c>
      <c r="CB277" s="50">
        <v>0</v>
      </c>
      <c r="CC277" s="50">
        <v>0</v>
      </c>
      <c r="CD277" s="50">
        <v>0</v>
      </c>
      <c r="CE277" s="50">
        <v>0</v>
      </c>
      <c r="CF277" s="50">
        <v>0</v>
      </c>
      <c r="CG277" s="50">
        <v>0</v>
      </c>
      <c r="CH277" s="50">
        <v>0</v>
      </c>
      <c r="CI277" s="50">
        <v>0</v>
      </c>
      <c r="CJ277" s="50">
        <v>0</v>
      </c>
      <c r="CK277" s="50">
        <v>0</v>
      </c>
      <c r="CL277" s="50">
        <v>0</v>
      </c>
      <c r="CM277" s="50">
        <v>-3161</v>
      </c>
      <c r="CN277" s="50">
        <v>-3893</v>
      </c>
      <c r="CO277" s="50">
        <v>-9165</v>
      </c>
      <c r="CP277" s="50">
        <v>-3970</v>
      </c>
      <c r="CQ277" s="50">
        <v>-1091</v>
      </c>
      <c r="CR277" s="50">
        <v>-691</v>
      </c>
    </row>
    <row r="278" spans="66:96" ht="19" customHeight="1" x14ac:dyDescent="0.35">
      <c r="BN278" s="1" t="str">
        <f t="shared" si="12"/>
        <v>CEMIG|DESPESAS FINANCEIRAS|Variação monetária – Provisões</v>
      </c>
      <c r="BQ278" s="126"/>
      <c r="BR278" s="6" t="s">
        <v>826</v>
      </c>
      <c r="BS278" s="50">
        <v>-123426</v>
      </c>
      <c r="BT278" s="50">
        <v>0</v>
      </c>
      <c r="BU278" s="50">
        <v>0</v>
      </c>
      <c r="BV278" s="50">
        <v>0</v>
      </c>
      <c r="BW278" s="50">
        <v>-49627</v>
      </c>
      <c r="BX278" s="50">
        <v>0</v>
      </c>
      <c r="BY278" s="50">
        <v>0</v>
      </c>
      <c r="BZ278" s="50">
        <v>0</v>
      </c>
      <c r="CA278" s="50">
        <v>0</v>
      </c>
      <c r="CB278" s="50">
        <v>0</v>
      </c>
      <c r="CC278" s="50">
        <v>0</v>
      </c>
      <c r="CD278" s="50">
        <v>0</v>
      </c>
      <c r="CE278" s="50">
        <v>0</v>
      </c>
      <c r="CF278" s="50">
        <v>0</v>
      </c>
      <c r="CG278" s="50">
        <v>0</v>
      </c>
      <c r="CH278" s="50">
        <v>0</v>
      </c>
      <c r="CI278" s="50">
        <v>0</v>
      </c>
      <c r="CJ278" s="50">
        <v>0</v>
      </c>
      <c r="CK278" s="50">
        <v>0</v>
      </c>
      <c r="CL278" s="50">
        <v>0</v>
      </c>
      <c r="CM278" s="50">
        <v>0</v>
      </c>
      <c r="CN278" s="50">
        <v>0</v>
      </c>
      <c r="CO278" s="50">
        <v>0</v>
      </c>
      <c r="CP278" s="50">
        <v>0</v>
      </c>
      <c r="CQ278" s="50">
        <v>0</v>
      </c>
      <c r="CR278" s="50">
        <v>0</v>
      </c>
    </row>
    <row r="279" spans="66:96" ht="19" customHeight="1" x14ac:dyDescent="0.35">
      <c r="BN279" s="1" t="str">
        <f t="shared" si="12"/>
        <v>CEMIG|DESPESAS FINANCEIRAS|Encargos e variação monetária de obrigação pós-emprego</v>
      </c>
      <c r="BQ279" s="126" t="s">
        <v>154</v>
      </c>
      <c r="BR279" s="6" t="s">
        <v>184</v>
      </c>
      <c r="BS279" s="50">
        <v>0</v>
      </c>
      <c r="BT279" s="50">
        <v>0</v>
      </c>
      <c r="BU279" s="50">
        <v>0</v>
      </c>
      <c r="BV279" s="50">
        <v>0</v>
      </c>
      <c r="BW279" s="50">
        <v>0</v>
      </c>
      <c r="BX279" s="50">
        <v>0</v>
      </c>
      <c r="BY279" s="50">
        <v>-3161</v>
      </c>
      <c r="BZ279" s="50">
        <v>0</v>
      </c>
      <c r="CA279" s="50">
        <v>-717</v>
      </c>
      <c r="CB279" s="50">
        <v>-2444</v>
      </c>
      <c r="CC279" s="50">
        <v>-19859</v>
      </c>
      <c r="CD279" s="50">
        <v>-2757</v>
      </c>
      <c r="CE279" s="50">
        <v>-6177</v>
      </c>
      <c r="CF279" s="50">
        <v>-8254</v>
      </c>
      <c r="CG279" s="50">
        <v>-39753</v>
      </c>
      <c r="CH279" s="50">
        <v>-3574</v>
      </c>
      <c r="CI279" s="50">
        <v>-16233</v>
      </c>
      <c r="CJ279" s="50">
        <v>-14040</v>
      </c>
      <c r="CK279" s="50">
        <v>-69604</v>
      </c>
      <c r="CL279" s="50">
        <v>-16124</v>
      </c>
      <c r="CM279" s="50">
        <v>-15772</v>
      </c>
      <c r="CN279" s="50">
        <v>-18376</v>
      </c>
      <c r="CO279" s="50">
        <v>-52708</v>
      </c>
      <c r="CP279" s="50">
        <v>-12228</v>
      </c>
      <c r="CQ279" s="50">
        <v>-4416</v>
      </c>
      <c r="CR279" s="50">
        <v>-17333</v>
      </c>
    </row>
    <row r="280" spans="66:96" ht="19" customHeight="1" x14ac:dyDescent="0.35">
      <c r="BN280" s="1" t="str">
        <f t="shared" si="12"/>
        <v>CEMIG|DESPESAS FINANCEIRAS|Perdas com instrumentos financeiros - Swap</v>
      </c>
      <c r="BP280" s="392"/>
      <c r="BQ280" s="126" t="s">
        <v>154</v>
      </c>
      <c r="BR280" s="6" t="s">
        <v>185</v>
      </c>
      <c r="BS280" s="50">
        <v>-25022</v>
      </c>
      <c r="BT280" s="50">
        <v>0</v>
      </c>
      <c r="BU280" s="50">
        <v>0</v>
      </c>
      <c r="BV280" s="50">
        <v>-3234</v>
      </c>
      <c r="BW280" s="50">
        <v>0</v>
      </c>
      <c r="BX280" s="50">
        <v>0</v>
      </c>
      <c r="BY280" s="50">
        <v>0</v>
      </c>
      <c r="BZ280" s="50">
        <v>0</v>
      </c>
      <c r="CA280" s="50">
        <v>0</v>
      </c>
      <c r="CB280" s="50">
        <v>0</v>
      </c>
      <c r="CC280" s="50">
        <v>-177326</v>
      </c>
      <c r="CD280" s="50">
        <v>0</v>
      </c>
      <c r="CE280" s="50">
        <v>-150010</v>
      </c>
      <c r="CF280" s="50">
        <v>-12725</v>
      </c>
      <c r="CG280" s="50">
        <v>-437887</v>
      </c>
      <c r="CH280" s="50">
        <v>0</v>
      </c>
      <c r="CI280" s="50">
        <v>0</v>
      </c>
      <c r="CJ280" s="50">
        <v>-456647</v>
      </c>
      <c r="CK280" s="50">
        <v>-537976</v>
      </c>
      <c r="CL280" s="50">
        <v>0</v>
      </c>
      <c r="CM280" s="50">
        <v>-425417</v>
      </c>
      <c r="CN280" s="50">
        <v>-187348</v>
      </c>
      <c r="CO280" s="50">
        <v>0</v>
      </c>
      <c r="CP280" s="50">
        <v>0</v>
      </c>
      <c r="CQ280" s="50">
        <v>0</v>
      </c>
      <c r="CR280" s="50">
        <v>0</v>
      </c>
    </row>
    <row r="281" spans="66:96" ht="19" customHeight="1" x14ac:dyDescent="0.35">
      <c r="BN281" s="1" t="str">
        <f t="shared" si="12"/>
        <v>CEMIG|DESPESAS FINANCEIRAS|Atualização PIS/Pasep e Cofins a restituir aos consumidores</v>
      </c>
      <c r="BQ281" s="126" t="s">
        <v>154</v>
      </c>
      <c r="BR281" s="6" t="s">
        <v>186</v>
      </c>
      <c r="BS281" s="50">
        <v>-554</v>
      </c>
      <c r="BT281" s="50">
        <v>-557</v>
      </c>
      <c r="BU281" s="50">
        <v>-585</v>
      </c>
      <c r="BV281" s="50">
        <v>-24139</v>
      </c>
      <c r="BW281" s="50">
        <v>-6210</v>
      </c>
      <c r="BX281" s="50">
        <v>-12524</v>
      </c>
      <c r="BY281" s="50">
        <v>0</v>
      </c>
      <c r="BZ281" s="50">
        <v>0</v>
      </c>
      <c r="CA281" s="50">
        <v>0</v>
      </c>
      <c r="CB281" s="50">
        <v>-14919</v>
      </c>
      <c r="CC281" s="50">
        <v>-41096</v>
      </c>
      <c r="CD281" s="50">
        <v>-26374</v>
      </c>
      <c r="CE281" s="50">
        <v>-16779</v>
      </c>
      <c r="CF281" s="50">
        <v>0</v>
      </c>
      <c r="CG281" s="50">
        <v>-1293826</v>
      </c>
      <c r="CH281" s="50">
        <v>-48819</v>
      </c>
      <c r="CI281" s="50">
        <v>-356213</v>
      </c>
      <c r="CJ281" s="50">
        <v>0</v>
      </c>
      <c r="CK281" s="50">
        <v>0</v>
      </c>
      <c r="CL281" s="50">
        <v>0</v>
      </c>
      <c r="CM281" s="50">
        <v>0</v>
      </c>
      <c r="CN281" s="50">
        <v>-6784</v>
      </c>
      <c r="CO281" s="50">
        <v>0</v>
      </c>
      <c r="CP281" s="50">
        <v>0</v>
      </c>
      <c r="CQ281" s="50">
        <v>0</v>
      </c>
      <c r="CR281" s="50">
        <v>0</v>
      </c>
    </row>
    <row r="282" spans="66:96" ht="19" customHeight="1" x14ac:dyDescent="0.35">
      <c r="BN282" s="1" t="str">
        <f t="shared" si="12"/>
        <v>CEMIG|DESPESAS FINANCEIRAS|Variação monetária de arrendamento</v>
      </c>
      <c r="BP282" s="392"/>
      <c r="BQ282" s="126" t="s">
        <v>154</v>
      </c>
      <c r="BR282" s="6" t="s">
        <v>187</v>
      </c>
      <c r="BS282" s="50">
        <v>-5369</v>
      </c>
      <c r="BT282" s="50">
        <v>-6046</v>
      </c>
      <c r="BU282" s="50">
        <v>-6043</v>
      </c>
      <c r="BV282" s="50">
        <v>-6160</v>
      </c>
      <c r="BW282" s="50">
        <v>0</v>
      </c>
      <c r="BX282" s="50">
        <v>-5974</v>
      </c>
      <c r="BY282" s="50">
        <v>-26981</v>
      </c>
      <c r="BZ282" s="50">
        <v>-6085</v>
      </c>
      <c r="CA282" s="50">
        <v>-6102</v>
      </c>
      <c r="CB282" s="50">
        <v>-8881</v>
      </c>
      <c r="CC282" s="50">
        <v>-35370</v>
      </c>
      <c r="CD282" s="50">
        <v>-8944</v>
      </c>
      <c r="CE282" s="50">
        <v>-8945</v>
      </c>
      <c r="CF282" s="50">
        <v>-8503</v>
      </c>
      <c r="CG282" s="50">
        <v>-26835</v>
      </c>
      <c r="CH282" s="50">
        <v>-6336</v>
      </c>
      <c r="CI282" s="50">
        <v>-6188</v>
      </c>
      <c r="CJ282" s="50">
        <v>-6285</v>
      </c>
      <c r="CK282" s="50">
        <v>-24974</v>
      </c>
      <c r="CL282" s="50">
        <v>-6101</v>
      </c>
      <c r="CM282" s="50">
        <v>-6147</v>
      </c>
      <c r="CN282" s="50">
        <v>-6332</v>
      </c>
      <c r="CO282" s="50">
        <v>-26995</v>
      </c>
      <c r="CP282" s="50">
        <v>-6664</v>
      </c>
      <c r="CQ282" s="50">
        <v>-6738</v>
      </c>
      <c r="CR282" s="50">
        <v>-6999</v>
      </c>
    </row>
    <row r="283" spans="66:96" ht="19" customHeight="1" x14ac:dyDescent="0.35">
      <c r="BN283" s="1" t="str">
        <f t="shared" si="12"/>
        <v>CEMIG|DESPESAS FINANCEIRAS|Despesas financeiras P&amp;D e PEE</v>
      </c>
      <c r="BP283" s="392"/>
      <c r="BQ283" s="126" t="s">
        <v>154</v>
      </c>
      <c r="BR283" s="6" t="s">
        <v>188</v>
      </c>
      <c r="BS283" s="50">
        <v>-11256</v>
      </c>
      <c r="BT283" s="50">
        <v>-11280</v>
      </c>
      <c r="BU283" s="50">
        <v>-11626</v>
      </c>
      <c r="BV283" s="50">
        <v>-11979</v>
      </c>
      <c r="BW283" s="50">
        <v>-10364</v>
      </c>
      <c r="BX283" s="50">
        <v>-9223</v>
      </c>
      <c r="BY283" s="50">
        <v>-29650</v>
      </c>
      <c r="BZ283" s="50">
        <v>-7547</v>
      </c>
      <c r="CA283" s="50">
        <v>-6888</v>
      </c>
      <c r="CB283" s="50">
        <v>-7250</v>
      </c>
      <c r="CC283" s="50">
        <v>-37700</v>
      </c>
      <c r="CD283" s="50">
        <v>-9307</v>
      </c>
      <c r="CE283" s="50">
        <v>-9892</v>
      </c>
      <c r="CF283" s="50">
        <v>-10259</v>
      </c>
      <c r="CG283" s="50">
        <v>-38068</v>
      </c>
      <c r="CH283" s="50">
        <v>-10980</v>
      </c>
      <c r="CI283" s="50">
        <v>-9409</v>
      </c>
      <c r="CJ283" s="50">
        <v>-7313</v>
      </c>
      <c r="CK283" s="50">
        <v>-12942</v>
      </c>
      <c r="CL283" s="50">
        <v>-5651</v>
      </c>
      <c r="CM283" s="50">
        <v>0</v>
      </c>
      <c r="CN283" s="50">
        <v>0</v>
      </c>
      <c r="CO283" s="50">
        <v>0</v>
      </c>
      <c r="CP283" s="50">
        <v>0</v>
      </c>
      <c r="CQ283" s="50">
        <v>0</v>
      </c>
      <c r="CR283" s="50">
        <v>0</v>
      </c>
    </row>
    <row r="284" spans="66:96" ht="23.15" customHeight="1" x14ac:dyDescent="0.35">
      <c r="BN284" s="1" t="str">
        <f t="shared" si="12"/>
        <v>CEMIG|DESPESAS FINANCEIRAS|Atualização estimada de creditos de GD</v>
      </c>
      <c r="BP284" s="392"/>
      <c r="BQ284" s="126" t="s">
        <v>154</v>
      </c>
      <c r="BR284" s="6" t="s">
        <v>825</v>
      </c>
      <c r="BS284" s="76">
        <v>-168278</v>
      </c>
      <c r="BT284" s="76">
        <v>0</v>
      </c>
      <c r="BU284" s="76">
        <v>-1</v>
      </c>
      <c r="BV284" s="76">
        <v>0</v>
      </c>
      <c r="BW284" s="76">
        <v>-75261</v>
      </c>
      <c r="BX284" s="76">
        <v>0</v>
      </c>
      <c r="BY284" s="76">
        <v>-37971</v>
      </c>
      <c r="BZ284" s="76">
        <v>0</v>
      </c>
      <c r="CA284" s="76">
        <v>-37970</v>
      </c>
      <c r="CB284" s="76">
        <v>0</v>
      </c>
      <c r="CC284" s="76">
        <v>0</v>
      </c>
      <c r="CD284" s="76">
        <v>0</v>
      </c>
      <c r="CE284" s="76">
        <v>0</v>
      </c>
      <c r="CF284" s="76">
        <v>0</v>
      </c>
      <c r="CG284" s="76">
        <v>0</v>
      </c>
      <c r="CH284" s="76">
        <v>0</v>
      </c>
      <c r="CI284" s="76">
        <v>0</v>
      </c>
      <c r="CJ284" s="76">
        <v>0</v>
      </c>
      <c r="CK284" s="76">
        <v>0</v>
      </c>
      <c r="CL284" s="76">
        <v>0</v>
      </c>
      <c r="CM284" s="76">
        <v>0</v>
      </c>
      <c r="CN284" s="76">
        <v>0</v>
      </c>
      <c r="CO284" s="76">
        <v>0</v>
      </c>
      <c r="CP284" s="76">
        <v>0</v>
      </c>
      <c r="CQ284" s="76">
        <v>0</v>
      </c>
      <c r="CR284" s="76">
        <v>0</v>
      </c>
    </row>
    <row r="285" spans="66:96" ht="19" customHeight="1" x14ac:dyDescent="0.35">
      <c r="BN285" s="1" t="str">
        <f t="shared" si="12"/>
        <v>CEMIG|DESPESAS FINANCEIRAS|Outras despesas financeiras</v>
      </c>
      <c r="BP285" s="392"/>
      <c r="BQ285" s="126" t="s">
        <v>154</v>
      </c>
      <c r="BR285" s="6" t="s">
        <v>189</v>
      </c>
      <c r="BS285" s="50">
        <v>-25295</v>
      </c>
      <c r="BT285" s="50">
        <v>-24783</v>
      </c>
      <c r="BU285" s="50">
        <v>-12658</v>
      </c>
      <c r="BV285" s="50">
        <v>-11651</v>
      </c>
      <c r="BW285" s="50">
        <v>-21598</v>
      </c>
      <c r="BX285" s="50">
        <v>-24694</v>
      </c>
      <c r="BY285" s="50">
        <v>-95628</v>
      </c>
      <c r="BZ285" s="50">
        <v>-19309</v>
      </c>
      <c r="CA285" s="50">
        <v>-31737</v>
      </c>
      <c r="CB285" s="50">
        <v>-26975</v>
      </c>
      <c r="CC285" s="50">
        <v>-164499</v>
      </c>
      <c r="CD285" s="50">
        <v>-47388</v>
      </c>
      <c r="CE285" s="50">
        <v>-22897</v>
      </c>
      <c r="CF285" s="50">
        <v>-78118</v>
      </c>
      <c r="CG285" s="50">
        <v>-80772</v>
      </c>
      <c r="CH285" s="50">
        <v>-16833</v>
      </c>
      <c r="CI285" s="50">
        <v>-30493</v>
      </c>
      <c r="CJ285" s="50">
        <v>-20005</v>
      </c>
      <c r="CK285" s="50">
        <v>-82436</v>
      </c>
      <c r="CL285" s="50">
        <v>-14295</v>
      </c>
      <c r="CM285" s="50">
        <v>-29221</v>
      </c>
      <c r="CN285" s="50">
        <v>-13820</v>
      </c>
      <c r="CO285" s="50">
        <v>-93239</v>
      </c>
      <c r="CP285" s="50">
        <v>-24103</v>
      </c>
      <c r="CQ285" s="50">
        <v>-11970</v>
      </c>
      <c r="CR285" s="50">
        <v>-10623</v>
      </c>
    </row>
    <row r="286" spans="66:96" ht="28" customHeight="1" x14ac:dyDescent="0.35">
      <c r="BN286" s="81" t="str">
        <f>BR286</f>
        <v>RESULTADO FINANCEIRO LÍQUIDO</v>
      </c>
      <c r="BO286" s="81"/>
      <c r="BP286" s="81"/>
      <c r="BQ286" s="126" t="s">
        <v>154</v>
      </c>
      <c r="BR286" s="39" t="s">
        <v>158</v>
      </c>
      <c r="BS286" s="58">
        <f>SUM(BS252,BS267)</f>
        <v>-795905</v>
      </c>
      <c r="BT286" s="58">
        <f>SUM(BT252,BT267)</f>
        <v>-338424</v>
      </c>
      <c r="BU286" s="58">
        <f>SUM(BU252,BU267)</f>
        <v>-290431</v>
      </c>
      <c r="BV286" s="58">
        <f t="shared" ref="BV286:CR286" si="13">SUM(BV252,BV267)</f>
        <v>-276062</v>
      </c>
      <c r="BW286" s="58">
        <f t="shared" si="13"/>
        <v>-312587</v>
      </c>
      <c r="BX286" s="58">
        <f t="shared" si="13"/>
        <v>-249631</v>
      </c>
      <c r="BY286" s="58">
        <f t="shared" si="13"/>
        <v>-520792</v>
      </c>
      <c r="BZ286" s="58">
        <f t="shared" si="13"/>
        <v>-61545</v>
      </c>
      <c r="CA286" s="58">
        <f t="shared" si="13"/>
        <v>118119</v>
      </c>
      <c r="CB286" s="58">
        <f t="shared" si="13"/>
        <v>-180986</v>
      </c>
      <c r="CC286" s="58">
        <f t="shared" si="13"/>
        <v>-378966</v>
      </c>
      <c r="CD286" s="58">
        <f t="shared" si="13"/>
        <v>-214852</v>
      </c>
      <c r="CE286" s="58">
        <f t="shared" si="13"/>
        <v>39810</v>
      </c>
      <c r="CF286" s="58">
        <f t="shared" si="13"/>
        <v>-105914</v>
      </c>
      <c r="CG286" s="58">
        <f t="shared" si="13"/>
        <v>-1566621</v>
      </c>
      <c r="CH286" s="58">
        <f t="shared" si="13"/>
        <v>-109461</v>
      </c>
      <c r="CI286" s="58">
        <f t="shared" si="13"/>
        <v>-870949</v>
      </c>
      <c r="CJ286" s="58">
        <f t="shared" si="13"/>
        <v>314163</v>
      </c>
      <c r="CK286" s="58">
        <f t="shared" si="13"/>
        <v>-2252993</v>
      </c>
      <c r="CL286" s="58">
        <f t="shared" si="13"/>
        <v>-1155490</v>
      </c>
      <c r="CM286" s="58">
        <f t="shared" si="13"/>
        <v>478528</v>
      </c>
      <c r="CN286" s="58">
        <f t="shared" si="13"/>
        <v>-1265220</v>
      </c>
      <c r="CO286" s="58">
        <f t="shared" si="13"/>
        <v>-905459</v>
      </c>
      <c r="CP286" s="58">
        <f t="shared" si="13"/>
        <v>-496619</v>
      </c>
      <c r="CQ286" s="58">
        <f t="shared" si="13"/>
        <v>-35317</v>
      </c>
      <c r="CR286" s="58">
        <f t="shared" si="13"/>
        <v>-726746</v>
      </c>
    </row>
    <row r="287" spans="66:96" ht="30" customHeight="1" x14ac:dyDescent="0.35">
      <c r="BQ287" s="126" t="s">
        <v>154</v>
      </c>
    </row>
    <row r="288" spans="66:96" ht="30" customHeight="1" x14ac:dyDescent="0.35">
      <c r="BQ288" s="126" t="s">
        <v>154</v>
      </c>
    </row>
    <row r="289" spans="66:96" ht="40" customHeight="1" x14ac:dyDescent="0.35">
      <c r="BQ289" s="126" t="s">
        <v>154</v>
      </c>
      <c r="BR289" s="479" t="s">
        <v>98</v>
      </c>
      <c r="BS289" s="479"/>
      <c r="BT289" s="479"/>
      <c r="BU289" s="479"/>
      <c r="BV289" s="479"/>
      <c r="BW289" s="479"/>
      <c r="BX289" s="479"/>
      <c r="BY289" s="479"/>
      <c r="BZ289" s="479"/>
      <c r="CA289" s="479"/>
      <c r="CB289" s="479"/>
      <c r="CC289" s="479"/>
      <c r="CD289" s="479"/>
      <c r="CE289" s="479"/>
      <c r="CF289" s="479"/>
      <c r="CG289" s="479"/>
      <c r="CH289" s="479"/>
      <c r="CI289" s="479"/>
      <c r="CJ289" s="479"/>
      <c r="CK289" s="479"/>
      <c r="CL289" s="479"/>
      <c r="CM289" s="479"/>
      <c r="CN289" s="479"/>
      <c r="CO289" s="479"/>
      <c r="CP289" s="479"/>
      <c r="CQ289" s="479"/>
      <c r="CR289" s="479"/>
    </row>
    <row r="290" spans="66:96" ht="15" customHeight="1" x14ac:dyDescent="0.35">
      <c r="BQ290" s="126" t="s">
        <v>154</v>
      </c>
      <c r="BR290" s="82" t="s">
        <v>25</v>
      </c>
      <c r="BS290" s="82"/>
      <c r="BT290" s="82"/>
    </row>
    <row r="291" spans="66:96" ht="35.15" customHeight="1" x14ac:dyDescent="0.35">
      <c r="BQ291" s="126" t="s">
        <v>154</v>
      </c>
      <c r="BR291" s="87" t="s">
        <v>10</v>
      </c>
      <c r="BS291" s="167" t="str">
        <f>BS251</f>
        <v>2T | 2026</v>
      </c>
      <c r="BT291" s="167" t="str">
        <f>BT251</f>
        <v>1T | 2026</v>
      </c>
      <c r="BU291" s="167" t="str">
        <f>BU251</f>
        <v>4T | 2025</v>
      </c>
      <c r="BV291" s="167" t="str">
        <f t="shared" ref="BV291:CR291" si="14">BV251</f>
        <v>3T | 2025</v>
      </c>
      <c r="BW291" s="167" t="str">
        <f t="shared" si="14"/>
        <v>2T | 2025</v>
      </c>
      <c r="BX291" s="167" t="str">
        <f t="shared" si="14"/>
        <v>1T | 2025</v>
      </c>
      <c r="BY291" s="167" t="str">
        <f t="shared" si="14"/>
        <v>4T | 2024</v>
      </c>
      <c r="BZ291" s="167" t="str">
        <f t="shared" si="14"/>
        <v>3T | 2024</v>
      </c>
      <c r="CA291" s="167" t="str">
        <f t="shared" si="14"/>
        <v>2T | 2024</v>
      </c>
      <c r="CB291" s="167" t="str">
        <f t="shared" si="14"/>
        <v>1T | 2024</v>
      </c>
      <c r="CC291" s="167" t="str">
        <f t="shared" si="14"/>
        <v>4T | 2023</v>
      </c>
      <c r="CD291" s="167" t="str">
        <f t="shared" si="14"/>
        <v>3T | 2023</v>
      </c>
      <c r="CE291" s="167" t="str">
        <f t="shared" si="14"/>
        <v>2T | 2023</v>
      </c>
      <c r="CF291" s="167" t="str">
        <f t="shared" si="14"/>
        <v>1T | 2023</v>
      </c>
      <c r="CG291" s="167" t="str">
        <f t="shared" si="14"/>
        <v>4T | 2022</v>
      </c>
      <c r="CH291" s="167" t="str">
        <f t="shared" si="14"/>
        <v>3T | 2022</v>
      </c>
      <c r="CI291" s="167" t="str">
        <f t="shared" si="14"/>
        <v>2T | 2022</v>
      </c>
      <c r="CJ291" s="167" t="str">
        <f t="shared" si="14"/>
        <v>1T | 2022</v>
      </c>
      <c r="CK291" s="167" t="str">
        <f t="shared" si="14"/>
        <v>4T | 2021</v>
      </c>
      <c r="CL291" s="167" t="str">
        <f t="shared" si="14"/>
        <v>3T | 2021</v>
      </c>
      <c r="CM291" s="167" t="str">
        <f t="shared" si="14"/>
        <v>2T | 2021</v>
      </c>
      <c r="CN291" s="167" t="str">
        <f t="shared" si="14"/>
        <v>1T | 2021</v>
      </c>
      <c r="CO291" s="167" t="str">
        <f t="shared" si="14"/>
        <v>4T | 2020</v>
      </c>
      <c r="CP291" s="167" t="str">
        <f t="shared" si="14"/>
        <v>3T | 2020</v>
      </c>
      <c r="CQ291" s="167" t="str">
        <f t="shared" si="14"/>
        <v>2T | 2020</v>
      </c>
      <c r="CR291" s="167" t="str">
        <f t="shared" si="14"/>
        <v>1T | 2020</v>
      </c>
    </row>
    <row r="292" spans="66:96" ht="25" customHeight="1" x14ac:dyDescent="0.35">
      <c r="BN292" s="81" t="str">
        <f>BR292</f>
        <v>RECEITAS FINANCEIRAS</v>
      </c>
      <c r="BO292" s="81"/>
      <c r="BP292" s="81"/>
      <c r="BQ292" s="126" t="s">
        <v>154</v>
      </c>
      <c r="BR292" s="141" t="s">
        <v>160</v>
      </c>
      <c r="BS292" s="46">
        <f t="shared" ref="BS292:CR292" si="15">SUM(BS293:BS304)</f>
        <v>251142</v>
      </c>
      <c r="BT292" s="46">
        <f t="shared" si="15"/>
        <v>212630</v>
      </c>
      <c r="BU292" s="46">
        <f t="shared" si="15"/>
        <v>190732</v>
      </c>
      <c r="BV292" s="46">
        <f t="shared" si="15"/>
        <v>203320</v>
      </c>
      <c r="BW292" s="46">
        <f t="shared" si="15"/>
        <v>232834</v>
      </c>
      <c r="BX292" s="46">
        <f t="shared" si="15"/>
        <v>166155</v>
      </c>
      <c r="BY292" s="46">
        <f t="shared" si="15"/>
        <v>160780</v>
      </c>
      <c r="BZ292" s="46">
        <f t="shared" si="15"/>
        <v>133816</v>
      </c>
      <c r="CA292" s="46">
        <f t="shared" si="15"/>
        <v>566796</v>
      </c>
      <c r="CB292" s="46">
        <f t="shared" si="15"/>
        <v>123196</v>
      </c>
      <c r="CC292" s="46">
        <f t="shared" si="15"/>
        <v>110203</v>
      </c>
      <c r="CD292" s="46">
        <f t="shared" si="15"/>
        <v>159821</v>
      </c>
      <c r="CE292" s="46">
        <f t="shared" si="15"/>
        <v>189527</v>
      </c>
      <c r="CF292" s="46">
        <f t="shared" si="15"/>
        <v>124238</v>
      </c>
      <c r="CG292" s="46">
        <f t="shared" si="15"/>
        <v>190022</v>
      </c>
      <c r="CH292" s="46">
        <f t="shared" si="15"/>
        <v>195706</v>
      </c>
      <c r="CI292" s="46">
        <f t="shared" si="15"/>
        <v>218830</v>
      </c>
      <c r="CJ292" s="46">
        <f t="shared" si="15"/>
        <v>186327</v>
      </c>
      <c r="CK292" s="46">
        <f t="shared" si="15"/>
        <v>178017</v>
      </c>
      <c r="CL292" s="46">
        <f t="shared" si="15"/>
        <v>186487</v>
      </c>
      <c r="CM292" s="46">
        <f t="shared" si="15"/>
        <v>165952</v>
      </c>
      <c r="CN292" s="46">
        <f t="shared" si="15"/>
        <v>126899</v>
      </c>
      <c r="CO292" s="46">
        <f t="shared" si="15"/>
        <v>106795</v>
      </c>
      <c r="CP292" s="46">
        <f t="shared" si="15"/>
        <v>128498</v>
      </c>
      <c r="CQ292" s="46">
        <f t="shared" si="15"/>
        <v>156874</v>
      </c>
      <c r="CR292" s="46">
        <f t="shared" si="15"/>
        <v>128024</v>
      </c>
    </row>
    <row r="293" spans="66:96" ht="19" customHeight="1" x14ac:dyDescent="0.35">
      <c r="BN293" s="1" t="str">
        <f>_xlfn.CONCAT($BR$289,"|",$BR$292,"|",BR293)</f>
        <v>CEMIG D|RECEITAS FINANCEIRAS|Renda de aplicação financeira</v>
      </c>
      <c r="BP293" s="392"/>
      <c r="BQ293" s="126" t="s">
        <v>154</v>
      </c>
      <c r="BR293" s="142" t="s">
        <v>161</v>
      </c>
      <c r="BS293" s="76">
        <v>72727</v>
      </c>
      <c r="BT293" s="76">
        <v>37320</v>
      </c>
      <c r="BU293" s="76">
        <v>48571</v>
      </c>
      <c r="BV293" s="76">
        <v>52722</v>
      </c>
      <c r="BW293" s="76">
        <v>116990</v>
      </c>
      <c r="BX293" s="76">
        <v>37824</v>
      </c>
      <c r="BY293" s="76">
        <v>63175</v>
      </c>
      <c r="BZ293" s="76">
        <v>12990</v>
      </c>
      <c r="CA293" s="76">
        <v>30456</v>
      </c>
      <c r="CB293" s="76">
        <v>15936</v>
      </c>
      <c r="CC293" s="76">
        <v>23728</v>
      </c>
      <c r="CD293" s="76">
        <v>45081</v>
      </c>
      <c r="CE293" s="76">
        <v>20776</v>
      </c>
      <c r="CF293" s="76">
        <v>10687</v>
      </c>
      <c r="CG293" s="76">
        <v>35838</v>
      </c>
      <c r="CH293" s="76">
        <v>51858</v>
      </c>
      <c r="CI293" s="76">
        <v>16828</v>
      </c>
      <c r="CJ293" s="76">
        <v>9001</v>
      </c>
      <c r="CK293" s="76">
        <v>20205</v>
      </c>
      <c r="CL293" s="76">
        <v>25385</v>
      </c>
      <c r="CM293" s="76">
        <v>19441</v>
      </c>
      <c r="CN293" s="76">
        <v>13428</v>
      </c>
      <c r="CO293" s="76">
        <v>19105</v>
      </c>
      <c r="CP293" s="76">
        <v>12905</v>
      </c>
      <c r="CQ293" s="76">
        <v>10567</v>
      </c>
      <c r="CR293" s="76">
        <v>7645</v>
      </c>
    </row>
    <row r="294" spans="66:96" ht="19" customHeight="1" x14ac:dyDescent="0.35">
      <c r="BN294" s="1" t="str">
        <f t="shared" ref="BN294:BN304" si="16">_xlfn.CONCAT($BR$289,"|",$BR$292,"|",BR294)</f>
        <v>CEMIG D|RECEITAS FINANCEIRAS|PIS/Pasep e Cofins incidentes sobre receitas financeiras</v>
      </c>
      <c r="BP294" s="392"/>
      <c r="BQ294" s="126" t="s">
        <v>154</v>
      </c>
      <c r="BR294" s="142" t="s">
        <v>190</v>
      </c>
      <c r="BS294" s="76">
        <v>-12027</v>
      </c>
      <c r="BT294" s="76">
        <v>-9988</v>
      </c>
      <c r="BU294" s="76">
        <v>-9619</v>
      </c>
      <c r="BV294" s="76">
        <v>-9399</v>
      </c>
      <c r="BW294" s="76">
        <v>-15059</v>
      </c>
      <c r="BX294" s="76">
        <v>-7894</v>
      </c>
      <c r="BY294" s="76">
        <v>-9599</v>
      </c>
      <c r="BZ294" s="76">
        <v>-7757</v>
      </c>
      <c r="CA294" s="76">
        <v>-9573</v>
      </c>
      <c r="CB294" s="76">
        <v>-6716</v>
      </c>
      <c r="CC294" s="76">
        <v>-7231</v>
      </c>
      <c r="CD294" s="76">
        <v>-8602</v>
      </c>
      <c r="CE294" s="76">
        <v>-10255</v>
      </c>
      <c r="CF294" s="76">
        <v>-6046</v>
      </c>
      <c r="CG294" s="76">
        <v>6622</v>
      </c>
      <c r="CH294" s="76">
        <v>-9807</v>
      </c>
      <c r="CI294" s="76">
        <v>-4089</v>
      </c>
      <c r="CJ294" s="76">
        <v>-7910</v>
      </c>
      <c r="CK294" s="76">
        <v>-10826</v>
      </c>
      <c r="CL294" s="76">
        <v>-10070</v>
      </c>
      <c r="CM294" s="76">
        <v>-8409</v>
      </c>
      <c r="CN294" s="76">
        <v>-6310</v>
      </c>
      <c r="CO294" s="76">
        <v>-7868</v>
      </c>
      <c r="CP294" s="76">
        <v>-6522</v>
      </c>
      <c r="CQ294" s="76">
        <v>-6659</v>
      </c>
      <c r="CR294" s="76">
        <v>-7167</v>
      </c>
    </row>
    <row r="295" spans="66:96" ht="19" customHeight="1" x14ac:dyDescent="0.35">
      <c r="BN295" s="1" t="str">
        <f t="shared" si="16"/>
        <v>CEMIG D|RECEITAS FINANCEIRAS|Acréscimos moratórios de contas de energia</v>
      </c>
      <c r="BP295" s="392"/>
      <c r="BQ295" s="126" t="s">
        <v>154</v>
      </c>
      <c r="BR295" s="142" t="s">
        <v>191</v>
      </c>
      <c r="BS295" s="76">
        <v>81296</v>
      </c>
      <c r="BT295" s="76">
        <v>79112</v>
      </c>
      <c r="BU295" s="76">
        <v>77979</v>
      </c>
      <c r="BV295" s="32">
        <v>73993</v>
      </c>
      <c r="BW295" s="32">
        <v>78252</v>
      </c>
      <c r="BX295" s="32">
        <v>71727</v>
      </c>
      <c r="BY295" s="32">
        <v>74305</v>
      </c>
      <c r="BZ295" s="32">
        <v>69945</v>
      </c>
      <c r="CA295" s="32">
        <v>70754</v>
      </c>
      <c r="CB295" s="32">
        <v>72904</v>
      </c>
      <c r="CC295" s="32">
        <v>67381</v>
      </c>
      <c r="CD295" s="32">
        <v>64255</v>
      </c>
      <c r="CE295" s="32">
        <v>75597</v>
      </c>
      <c r="CF295" s="32">
        <v>61649</v>
      </c>
      <c r="CG295" s="32">
        <v>60623</v>
      </c>
      <c r="CH295" s="32">
        <v>70822</v>
      </c>
      <c r="CI295" s="32">
        <v>100252</v>
      </c>
      <c r="CJ295" s="32">
        <v>93124</v>
      </c>
      <c r="CK295" s="32">
        <v>107291</v>
      </c>
      <c r="CL295" s="32">
        <v>110971</v>
      </c>
      <c r="CM295" s="32">
        <v>121235</v>
      </c>
      <c r="CN295" s="32">
        <v>113424</v>
      </c>
      <c r="CO295" s="32">
        <v>113917</v>
      </c>
      <c r="CP295" s="32">
        <v>104112</v>
      </c>
      <c r="CQ295" s="32">
        <v>81957</v>
      </c>
      <c r="CR295" s="32">
        <v>90026</v>
      </c>
    </row>
    <row r="296" spans="66:96" ht="19" customHeight="1" x14ac:dyDescent="0.35">
      <c r="BN296" s="1" t="str">
        <f t="shared" si="16"/>
        <v>CEMIG D|RECEITAS FINANCEIRAS|Variações cambiais de empréstimos e financiamentos</v>
      </c>
      <c r="BP296" s="392"/>
      <c r="BQ296" s="126" t="s">
        <v>154</v>
      </c>
      <c r="BR296" s="142" t="s">
        <v>192</v>
      </c>
      <c r="BS296" s="76">
        <v>13356</v>
      </c>
      <c r="BT296" s="76">
        <v>0</v>
      </c>
      <c r="BU296" s="76">
        <v>0</v>
      </c>
      <c r="BV296" s="32">
        <v>0</v>
      </c>
      <c r="BW296" s="32">
        <v>0</v>
      </c>
      <c r="BX296" s="32">
        <v>0</v>
      </c>
      <c r="BY296" s="32">
        <v>0</v>
      </c>
      <c r="BZ296" s="32">
        <v>0</v>
      </c>
      <c r="CA296" s="32">
        <v>0</v>
      </c>
      <c r="CB296" s="32">
        <v>0</v>
      </c>
      <c r="CC296" s="32">
        <v>0</v>
      </c>
      <c r="CD296" s="32">
        <v>0</v>
      </c>
      <c r="CE296" s="32">
        <v>0</v>
      </c>
      <c r="CF296" s="32">
        <v>0</v>
      </c>
      <c r="CG296" s="32">
        <v>0</v>
      </c>
      <c r="CH296" s="32">
        <v>0</v>
      </c>
      <c r="CI296" s="32">
        <v>0</v>
      </c>
      <c r="CJ296" s="32">
        <v>0</v>
      </c>
      <c r="CK296" s="32">
        <v>0</v>
      </c>
      <c r="CL296" s="32">
        <v>0</v>
      </c>
      <c r="CM296" s="32">
        <v>0</v>
      </c>
      <c r="CN296" s="32">
        <v>0</v>
      </c>
      <c r="CO296" s="32">
        <v>-10122</v>
      </c>
      <c r="CP296" s="32">
        <v>0</v>
      </c>
      <c r="CQ296" s="32">
        <v>10122</v>
      </c>
      <c r="CR296" s="32">
        <v>0</v>
      </c>
    </row>
    <row r="297" spans="66:96" ht="19" customHeight="1" x14ac:dyDescent="0.35">
      <c r="BN297" s="1" t="str">
        <f t="shared" si="16"/>
        <v>CEMIG D|RECEITAS FINANCEIRAS|Variações cambiais de Itaipu</v>
      </c>
      <c r="BP297" s="392"/>
      <c r="BQ297" s="126" t="s">
        <v>154</v>
      </c>
      <c r="BR297" s="142" t="s">
        <v>193</v>
      </c>
      <c r="BS297" s="76">
        <v>4379</v>
      </c>
      <c r="BT297" s="76">
        <v>7830</v>
      </c>
      <c r="BU297" s="76">
        <v>-1265</v>
      </c>
      <c r="BV297" s="32">
        <v>7384</v>
      </c>
      <c r="BW297" s="32">
        <v>2326</v>
      </c>
      <c r="BX297" s="32">
        <v>6209</v>
      </c>
      <c r="BY297" s="32">
        <v>0</v>
      </c>
      <c r="BZ297" s="32">
        <v>0</v>
      </c>
      <c r="CA297" s="32">
        <v>0</v>
      </c>
      <c r="CB297" s="32">
        <v>0</v>
      </c>
      <c r="CC297" s="32">
        <v>-6388</v>
      </c>
      <c r="CD297" s="32">
        <v>0</v>
      </c>
      <c r="CE297" s="32">
        <v>11222</v>
      </c>
      <c r="CF297" s="32">
        <v>1889</v>
      </c>
      <c r="CG297" s="32">
        <v>-15491</v>
      </c>
      <c r="CH297" s="32">
        <v>0</v>
      </c>
      <c r="CI297" s="32">
        <v>8248</v>
      </c>
      <c r="CJ297" s="32">
        <v>23965</v>
      </c>
      <c r="CK297" s="32">
        <v>-7291</v>
      </c>
      <c r="CL297" s="32">
        <v>0</v>
      </c>
      <c r="CM297" s="32">
        <v>7291</v>
      </c>
      <c r="CN297" s="32">
        <v>0</v>
      </c>
      <c r="CO297" s="32">
        <v>0</v>
      </c>
      <c r="CP297" s="32">
        <v>0</v>
      </c>
      <c r="CQ297" s="32">
        <v>0</v>
      </c>
      <c r="CR297" s="32">
        <v>0</v>
      </c>
    </row>
    <row r="298" spans="66:96" ht="19" customHeight="1" x14ac:dyDescent="0.35">
      <c r="BN298" s="1" t="str">
        <f t="shared" si="16"/>
        <v>CEMIG D|RECEITAS FINANCEIRAS|Variações monetárias</v>
      </c>
      <c r="BP298" s="392"/>
      <c r="BQ298" s="126" t="s">
        <v>154</v>
      </c>
      <c r="BR298" s="142" t="s">
        <v>194</v>
      </c>
      <c r="BS298" s="76">
        <v>6904</v>
      </c>
      <c r="BT298" s="76">
        <v>16556</v>
      </c>
      <c r="BU298" s="76">
        <v>1435</v>
      </c>
      <c r="BV298" s="32">
        <v>0</v>
      </c>
      <c r="BW298" s="32">
        <v>1226</v>
      </c>
      <c r="BX298" s="32">
        <v>5304</v>
      </c>
      <c r="BY298" s="32">
        <v>12059</v>
      </c>
      <c r="BZ298" s="32">
        <v>2576</v>
      </c>
      <c r="CA298" s="32">
        <v>2003</v>
      </c>
      <c r="CB298" s="32">
        <v>13274</v>
      </c>
      <c r="CC298" s="32">
        <v>6070</v>
      </c>
      <c r="CD298" s="32">
        <v>8552</v>
      </c>
      <c r="CE298" s="32">
        <v>2923</v>
      </c>
      <c r="CF298" s="32">
        <v>4439</v>
      </c>
      <c r="CG298" s="32">
        <v>37460</v>
      </c>
      <c r="CH298" s="32">
        <v>4510</v>
      </c>
      <c r="CI298" s="32">
        <v>14226</v>
      </c>
      <c r="CJ298" s="32">
        <v>859</v>
      </c>
      <c r="CK298" s="32">
        <v>2729</v>
      </c>
      <c r="CL298" s="32">
        <v>22900</v>
      </c>
      <c r="CM298" s="32">
        <v>1332</v>
      </c>
      <c r="CN298" s="32">
        <v>668</v>
      </c>
      <c r="CO298" s="32">
        <v>2808</v>
      </c>
      <c r="CP298" s="32">
        <v>0</v>
      </c>
      <c r="CQ298" s="32">
        <v>841</v>
      </c>
      <c r="CR298" s="32">
        <v>1041</v>
      </c>
    </row>
    <row r="299" spans="66:96" ht="19" customHeight="1" x14ac:dyDescent="0.35">
      <c r="BN299" s="1" t="str">
        <f t="shared" si="16"/>
        <v>CEMIG D|RECEITAS FINANCEIRAS|Variação monetária depósitos judiciais</v>
      </c>
      <c r="BP299" s="392"/>
      <c r="BQ299" s="126" t="s">
        <v>154</v>
      </c>
      <c r="BR299" s="142" t="s">
        <v>195</v>
      </c>
      <c r="BS299" s="76">
        <v>10639</v>
      </c>
      <c r="BT299" s="76">
        <v>11104</v>
      </c>
      <c r="BU299" s="76">
        <v>17131</v>
      </c>
      <c r="BV299" s="32">
        <v>15250</v>
      </c>
      <c r="BW299" s="32">
        <v>12243</v>
      </c>
      <c r="BX299" s="32">
        <v>15056</v>
      </c>
      <c r="BY299" s="32">
        <v>11444</v>
      </c>
      <c r="BZ299" s="32">
        <v>11469</v>
      </c>
      <c r="CA299" s="32">
        <v>9717</v>
      </c>
      <c r="CB299" s="32">
        <v>11206</v>
      </c>
      <c r="CC299" s="32">
        <v>12841</v>
      </c>
      <c r="CD299" s="32">
        <v>13722</v>
      </c>
      <c r="CE299" s="32">
        <v>12355</v>
      </c>
      <c r="CF299" s="32">
        <v>8488</v>
      </c>
      <c r="CG299" s="32">
        <v>15564</v>
      </c>
      <c r="CH299" s="32">
        <v>12720</v>
      </c>
      <c r="CI299" s="32">
        <v>11258</v>
      </c>
      <c r="CJ299" s="32">
        <v>8701</v>
      </c>
      <c r="CK299" s="32">
        <v>8783</v>
      </c>
      <c r="CL299" s="32">
        <v>5129</v>
      </c>
      <c r="CM299" s="32">
        <v>3326</v>
      </c>
      <c r="CN299" s="32">
        <v>1553</v>
      </c>
      <c r="CO299" s="32">
        <v>-5230</v>
      </c>
      <c r="CP299" s="32">
        <v>2311</v>
      </c>
      <c r="CQ299" s="32">
        <v>4305</v>
      </c>
      <c r="CR299" s="32">
        <v>9152</v>
      </c>
    </row>
    <row r="300" spans="66:96" ht="19" customHeight="1" x14ac:dyDescent="0.35">
      <c r="BN300" s="1" t="str">
        <f t="shared" si="16"/>
        <v>CEMIG D|RECEITAS FINANCEIRAS|Variação monetária de empréstimos e debêntures</v>
      </c>
      <c r="BQ300" s="126" t="s">
        <v>154</v>
      </c>
      <c r="BR300" s="142" t="s">
        <v>196</v>
      </c>
      <c r="BS300" s="76">
        <v>0</v>
      </c>
      <c r="BT300" s="76">
        <v>0</v>
      </c>
      <c r="BU300" s="76">
        <v>0</v>
      </c>
      <c r="BV300" s="32">
        <v>0</v>
      </c>
      <c r="BW300" s="32">
        <v>0</v>
      </c>
      <c r="BX300" s="32">
        <v>0</v>
      </c>
      <c r="BY300" s="32">
        <v>0</v>
      </c>
      <c r="BZ300" s="32">
        <v>0</v>
      </c>
      <c r="CA300" s="32">
        <v>0</v>
      </c>
      <c r="CB300" s="32">
        <v>0</v>
      </c>
      <c r="CC300" s="32">
        <v>0</v>
      </c>
      <c r="CD300" s="32">
        <v>0</v>
      </c>
      <c r="CE300" s="32">
        <v>0</v>
      </c>
      <c r="CF300" s="32">
        <v>0</v>
      </c>
      <c r="CG300" s="32">
        <v>-10247</v>
      </c>
      <c r="CH300" s="32">
        <v>10247</v>
      </c>
      <c r="CI300" s="32">
        <v>0</v>
      </c>
      <c r="CJ300" s="32">
        <v>0</v>
      </c>
      <c r="CK300" s="32">
        <v>0</v>
      </c>
      <c r="CL300" s="32">
        <v>0</v>
      </c>
      <c r="CM300" s="32">
        <v>0</v>
      </c>
      <c r="CN300" s="32">
        <v>0</v>
      </c>
      <c r="CO300" s="32">
        <v>-28681</v>
      </c>
      <c r="CP300" s="32">
        <v>0</v>
      </c>
      <c r="CQ300" s="32">
        <v>28681</v>
      </c>
      <c r="CR300" s="32">
        <v>0</v>
      </c>
    </row>
    <row r="301" spans="66:96" ht="19" customHeight="1" x14ac:dyDescent="0.35">
      <c r="BN301" s="1" t="str">
        <f t="shared" si="16"/>
        <v>CEMIG D|RECEITAS FINANCEIRAS|Variação monetária - CVA</v>
      </c>
      <c r="BP301" s="392"/>
      <c r="BQ301" s="126" t="s">
        <v>154</v>
      </c>
      <c r="BR301" s="142" t="s">
        <v>197</v>
      </c>
      <c r="BS301" s="76">
        <v>40961</v>
      </c>
      <c r="BT301" s="76">
        <v>45490</v>
      </c>
      <c r="BU301" s="76">
        <v>37610</v>
      </c>
      <c r="BV301" s="32">
        <v>38872</v>
      </c>
      <c r="BW301" s="32">
        <v>13346</v>
      </c>
      <c r="BX301" s="32">
        <v>17773</v>
      </c>
      <c r="BY301" s="32">
        <v>9201</v>
      </c>
      <c r="BZ301" s="32">
        <v>5251</v>
      </c>
      <c r="CA301" s="32">
        <v>0</v>
      </c>
      <c r="CB301" s="32">
        <v>1793</v>
      </c>
      <c r="CC301" s="32">
        <v>-16009</v>
      </c>
      <c r="CD301" s="32">
        <v>0</v>
      </c>
      <c r="CE301" s="32">
        <v>65468</v>
      </c>
      <c r="CF301" s="32">
        <v>26610</v>
      </c>
      <c r="CG301" s="32">
        <v>35695</v>
      </c>
      <c r="CH301" s="32">
        <v>38210</v>
      </c>
      <c r="CI301" s="32">
        <v>59217</v>
      </c>
      <c r="CJ301" s="32">
        <v>51999</v>
      </c>
      <c r="CK301" s="32">
        <v>35655</v>
      </c>
      <c r="CL301" s="32">
        <v>21325</v>
      </c>
      <c r="CM301" s="32">
        <v>6927</v>
      </c>
      <c r="CN301" s="32">
        <v>0</v>
      </c>
      <c r="CO301" s="32">
        <v>668</v>
      </c>
      <c r="CP301" s="32">
        <v>5593</v>
      </c>
      <c r="CQ301" s="32">
        <v>14045</v>
      </c>
      <c r="CR301" s="32">
        <v>11643</v>
      </c>
    </row>
    <row r="302" spans="66:96" ht="19" customHeight="1" x14ac:dyDescent="0.35">
      <c r="BN302" s="1" t="str">
        <f t="shared" si="16"/>
        <v>CEMIG D|RECEITAS FINANCEIRAS|Atualização dos créditos de PIS/Pasep e Cofins</v>
      </c>
      <c r="BP302" s="392"/>
      <c r="BQ302" s="126" t="s">
        <v>154</v>
      </c>
      <c r="BR302" s="142" t="s">
        <v>198</v>
      </c>
      <c r="BS302" s="76">
        <v>582</v>
      </c>
      <c r="BT302" s="76">
        <v>584</v>
      </c>
      <c r="BU302" s="76">
        <v>-1663</v>
      </c>
      <c r="BV302" s="32">
        <v>611</v>
      </c>
      <c r="BW302" s="32">
        <v>40</v>
      </c>
      <c r="BX302" s="32">
        <v>1012</v>
      </c>
      <c r="BY302" s="32">
        <v>-30741</v>
      </c>
      <c r="BZ302" s="32">
        <v>26</v>
      </c>
      <c r="CA302" s="32">
        <v>401473</v>
      </c>
      <c r="CB302" s="32">
        <v>0</v>
      </c>
      <c r="CC302" s="32">
        <v>0</v>
      </c>
      <c r="CD302" s="32">
        <v>0</v>
      </c>
      <c r="CE302" s="32">
        <v>0</v>
      </c>
      <c r="CF302" s="32">
        <v>0</v>
      </c>
      <c r="CG302" s="32">
        <v>0</v>
      </c>
      <c r="CH302" s="32">
        <v>0</v>
      </c>
      <c r="CI302" s="32">
        <v>0</v>
      </c>
      <c r="CJ302" s="32">
        <v>0</v>
      </c>
      <c r="CK302" s="32">
        <v>0</v>
      </c>
      <c r="CL302" s="32">
        <v>0</v>
      </c>
      <c r="CM302" s="32">
        <v>0</v>
      </c>
      <c r="CN302" s="32">
        <v>0</v>
      </c>
      <c r="CO302" s="32">
        <v>5012</v>
      </c>
      <c r="CP302" s="32">
        <v>4058</v>
      </c>
      <c r="CQ302" s="32">
        <v>7105</v>
      </c>
      <c r="CR302" s="32">
        <v>8636</v>
      </c>
    </row>
    <row r="303" spans="66:96" ht="19" customHeight="1" x14ac:dyDescent="0.35">
      <c r="BN303" s="1" t="str">
        <f t="shared" si="16"/>
        <v>CEMIG D|RECEITAS FINANCEIRAS|Atualização crédito IRPJ sobre PAT</v>
      </c>
      <c r="BQ303" s="126" t="s">
        <v>154</v>
      </c>
      <c r="BR303" s="142" t="s">
        <v>173</v>
      </c>
      <c r="BS303" s="76">
        <v>40</v>
      </c>
      <c r="BT303" s="76">
        <v>236</v>
      </c>
      <c r="BU303" s="76">
        <v>461</v>
      </c>
      <c r="BV303" s="32">
        <v>665</v>
      </c>
      <c r="BW303" s="32">
        <v>1490</v>
      </c>
      <c r="BX303" s="32">
        <v>719</v>
      </c>
      <c r="BY303" s="32">
        <v>5603</v>
      </c>
      <c r="BZ303" s="32">
        <v>535</v>
      </c>
      <c r="CA303" s="32">
        <v>32643</v>
      </c>
      <c r="CB303" s="32">
        <v>0</v>
      </c>
      <c r="CC303" s="32">
        <v>0</v>
      </c>
      <c r="CD303" s="32">
        <v>0</v>
      </c>
      <c r="CE303" s="32">
        <v>0</v>
      </c>
      <c r="CF303" s="32">
        <v>0</v>
      </c>
      <c r="CG303" s="32">
        <v>0</v>
      </c>
      <c r="CH303" s="32">
        <v>0</v>
      </c>
      <c r="CI303" s="32">
        <v>0</v>
      </c>
      <c r="CJ303" s="32">
        <v>0</v>
      </c>
      <c r="CK303" s="32">
        <v>0</v>
      </c>
      <c r="CL303" s="32">
        <v>0</v>
      </c>
      <c r="CM303" s="32">
        <v>0</v>
      </c>
      <c r="CN303" s="32">
        <v>0</v>
      </c>
      <c r="CO303" s="32">
        <v>0</v>
      </c>
      <c r="CP303" s="32">
        <v>0</v>
      </c>
      <c r="CQ303" s="32">
        <v>0</v>
      </c>
      <c r="CR303" s="32">
        <v>0</v>
      </c>
    </row>
    <row r="304" spans="66:96" ht="19" customHeight="1" x14ac:dyDescent="0.35">
      <c r="BN304" s="1" t="str">
        <f t="shared" si="16"/>
        <v>CEMIG D|RECEITAS FINANCEIRAS|Outras</v>
      </c>
      <c r="BP304" s="392"/>
      <c r="BQ304" s="126" t="s">
        <v>154</v>
      </c>
      <c r="BR304" s="142" t="s">
        <v>199</v>
      </c>
      <c r="BS304" s="76">
        <v>32285</v>
      </c>
      <c r="BT304" s="76">
        <v>24386</v>
      </c>
      <c r="BU304" s="76">
        <v>20092</v>
      </c>
      <c r="BV304" s="32">
        <v>23222</v>
      </c>
      <c r="BW304" s="32">
        <v>21980</v>
      </c>
      <c r="BX304" s="32">
        <v>18425</v>
      </c>
      <c r="BY304" s="32">
        <v>25333</v>
      </c>
      <c r="BZ304" s="32">
        <v>38781</v>
      </c>
      <c r="CA304" s="32">
        <v>29323</v>
      </c>
      <c r="CB304" s="32">
        <v>14799</v>
      </c>
      <c r="CC304" s="32">
        <v>29811</v>
      </c>
      <c r="CD304" s="32">
        <v>36813</v>
      </c>
      <c r="CE304" s="32">
        <v>11441</v>
      </c>
      <c r="CF304" s="32">
        <v>16522</v>
      </c>
      <c r="CG304" s="32">
        <v>23958</v>
      </c>
      <c r="CH304" s="32">
        <v>17146</v>
      </c>
      <c r="CI304" s="32">
        <v>12890</v>
      </c>
      <c r="CJ304" s="32">
        <v>6588</v>
      </c>
      <c r="CK304" s="32">
        <v>21471</v>
      </c>
      <c r="CL304" s="32">
        <v>10847</v>
      </c>
      <c r="CM304" s="32">
        <v>14809</v>
      </c>
      <c r="CN304" s="32">
        <v>4136</v>
      </c>
      <c r="CO304" s="32">
        <v>17186</v>
      </c>
      <c r="CP304" s="32">
        <v>6041</v>
      </c>
      <c r="CQ304" s="32">
        <v>5910</v>
      </c>
      <c r="CR304" s="32">
        <v>7048</v>
      </c>
    </row>
    <row r="305" spans="66:96" ht="25" customHeight="1" x14ac:dyDescent="0.35">
      <c r="BN305" s="81" t="str">
        <f>BR305</f>
        <v>DESPESAS FINANCEIRAS</v>
      </c>
      <c r="BO305" s="81"/>
      <c r="BP305" s="81"/>
      <c r="BQ305" s="126" t="s">
        <v>154</v>
      </c>
      <c r="BR305" s="141" t="s">
        <v>175</v>
      </c>
      <c r="BS305" s="46">
        <f t="shared" ref="BS305:CR305" si="17">SUM(BS306:BS321)</f>
        <v>-859336</v>
      </c>
      <c r="BT305" s="46">
        <f t="shared" si="17"/>
        <v>-496241</v>
      </c>
      <c r="BU305" s="46">
        <f t="shared" si="17"/>
        <v>-409034</v>
      </c>
      <c r="BV305" s="46">
        <f t="shared" si="17"/>
        <v>-411780</v>
      </c>
      <c r="BW305" s="46">
        <f t="shared" si="17"/>
        <v>-521477</v>
      </c>
      <c r="BX305" s="46">
        <f t="shared" si="17"/>
        <v>-368251</v>
      </c>
      <c r="BY305" s="46">
        <f t="shared" si="17"/>
        <v>-298677</v>
      </c>
      <c r="BZ305" s="46">
        <f t="shared" si="17"/>
        <v>-209412</v>
      </c>
      <c r="CA305" s="46">
        <f t="shared" si="17"/>
        <v>-261338</v>
      </c>
      <c r="CB305" s="46">
        <f t="shared" si="17"/>
        <v>-231976</v>
      </c>
      <c r="CC305" s="46">
        <f t="shared" si="17"/>
        <v>-183116</v>
      </c>
      <c r="CD305" s="46">
        <f t="shared" si="17"/>
        <v>-259250</v>
      </c>
      <c r="CE305" s="46">
        <f t="shared" si="17"/>
        <v>-177962</v>
      </c>
      <c r="CF305" s="46">
        <f t="shared" si="17"/>
        <v>-216586</v>
      </c>
      <c r="CG305" s="46">
        <f t="shared" si="17"/>
        <v>-1009148</v>
      </c>
      <c r="CH305" s="46">
        <f t="shared" si="17"/>
        <v>-184241</v>
      </c>
      <c r="CI305" s="46">
        <f t="shared" si="17"/>
        <v>-551217</v>
      </c>
      <c r="CJ305" s="46">
        <f t="shared" si="17"/>
        <v>-161524</v>
      </c>
      <c r="CK305" s="46">
        <f t="shared" si="17"/>
        <v>-198613</v>
      </c>
      <c r="CL305" s="46">
        <f t="shared" si="17"/>
        <v>-183881</v>
      </c>
      <c r="CM305" s="46">
        <f t="shared" si="17"/>
        <v>-116039</v>
      </c>
      <c r="CN305" s="46">
        <f t="shared" si="17"/>
        <v>-166354</v>
      </c>
      <c r="CO305" s="46">
        <f t="shared" si="17"/>
        <v>-125830</v>
      </c>
      <c r="CP305" s="46">
        <f t="shared" si="17"/>
        <v>-125150</v>
      </c>
      <c r="CQ305" s="46">
        <f t="shared" si="17"/>
        <v>-97803</v>
      </c>
      <c r="CR305" s="46">
        <f t="shared" si="17"/>
        <v>-162440</v>
      </c>
    </row>
    <row r="306" spans="66:96" ht="19" customHeight="1" x14ac:dyDescent="0.35">
      <c r="BN306" s="1" t="str">
        <f>_xlfn.CONCAT($BR$289,"|",$BR$305,"|",BR306)</f>
        <v>CEMIG D|DESPESAS FINANCEIRAS|Encargos de debêntures</v>
      </c>
      <c r="BP306" s="392"/>
      <c r="BQ306" s="126" t="s">
        <v>154</v>
      </c>
      <c r="BR306" s="6" t="s">
        <v>176</v>
      </c>
      <c r="BS306" s="50">
        <v>-349764</v>
      </c>
      <c r="BT306" s="50">
        <v>-345974</v>
      </c>
      <c r="BU306" s="50">
        <v>-334511</v>
      </c>
      <c r="BV306" s="50">
        <v>-334825</v>
      </c>
      <c r="BW306" s="50">
        <v>-315480</v>
      </c>
      <c r="BX306" s="50">
        <v>-202290</v>
      </c>
      <c r="BY306" s="50">
        <v>-183294</v>
      </c>
      <c r="BZ306" s="50">
        <v>-132266</v>
      </c>
      <c r="CA306" s="50">
        <v>-129539</v>
      </c>
      <c r="CB306" s="50">
        <v>-105638</v>
      </c>
      <c r="CC306" s="50">
        <v>-112374</v>
      </c>
      <c r="CD306" s="50">
        <v>-125904</v>
      </c>
      <c r="CE306" s="50">
        <v>-78011</v>
      </c>
      <c r="CF306" s="50">
        <v>-69906</v>
      </c>
      <c r="CG306" s="50">
        <v>-74446</v>
      </c>
      <c r="CH306" s="50">
        <v>-77809</v>
      </c>
      <c r="CI306" s="50">
        <v>-56774</v>
      </c>
      <c r="CJ306" s="50">
        <v>-56238</v>
      </c>
      <c r="CK306" s="50">
        <v>-53370</v>
      </c>
      <c r="CL306" s="50">
        <v>-63250</v>
      </c>
      <c r="CM306" s="50">
        <v>-38953</v>
      </c>
      <c r="CN306" s="50">
        <v>-41149</v>
      </c>
      <c r="CO306" s="50">
        <v>-42303</v>
      </c>
      <c r="CP306" s="50">
        <v>-53041</v>
      </c>
      <c r="CQ306" s="50">
        <v>-50682</v>
      </c>
      <c r="CR306" s="50">
        <v>-49607</v>
      </c>
    </row>
    <row r="307" spans="66:96" ht="19" customHeight="1" x14ac:dyDescent="0.35">
      <c r="BN307" s="1" t="str">
        <f t="shared" ref="BN307:BN321" si="18">_xlfn.CONCAT($BR$289,"|",$BR$305,"|",BR307)</f>
        <v>CEMIG D|DESPESAS FINANCEIRAS|Amortização do custo de transação</v>
      </c>
      <c r="BP307" s="392"/>
      <c r="BQ307" s="126" t="s">
        <v>154</v>
      </c>
      <c r="BR307" s="6" t="s">
        <v>177</v>
      </c>
      <c r="BS307" s="50">
        <v>-7269</v>
      </c>
      <c r="BT307" s="50">
        <v>-7240</v>
      </c>
      <c r="BU307" s="50">
        <v>-6905</v>
      </c>
      <c r="BV307" s="50">
        <v>-5932</v>
      </c>
      <c r="BW307" s="50">
        <v>-5836</v>
      </c>
      <c r="BX307" s="50">
        <v>-4802</v>
      </c>
      <c r="BY307" s="50">
        <v>-4759</v>
      </c>
      <c r="BZ307" s="50">
        <v>-3393</v>
      </c>
      <c r="CA307" s="50">
        <v>-3491</v>
      </c>
      <c r="CB307" s="50">
        <v>-2677</v>
      </c>
      <c r="CC307" s="50">
        <v>-1900</v>
      </c>
      <c r="CD307" s="50">
        <v>-1901</v>
      </c>
      <c r="CE307" s="50">
        <v>-1136</v>
      </c>
      <c r="CF307" s="50">
        <v>-872</v>
      </c>
      <c r="CG307" s="50">
        <v>-891</v>
      </c>
      <c r="CH307" s="50">
        <v>-890</v>
      </c>
      <c r="CI307" s="50">
        <v>-442</v>
      </c>
      <c r="CJ307" s="50">
        <v>-432</v>
      </c>
      <c r="CK307" s="50">
        <v>-442</v>
      </c>
      <c r="CL307" s="50">
        <v>-442</v>
      </c>
      <c r="CM307" s="50">
        <v>-436</v>
      </c>
      <c r="CN307" s="50">
        <v>-468</v>
      </c>
      <c r="CO307" s="50">
        <v>-512</v>
      </c>
      <c r="CP307" s="50">
        <v>-513</v>
      </c>
      <c r="CQ307" s="50">
        <v>-507</v>
      </c>
      <c r="CR307" s="50">
        <v>-507</v>
      </c>
    </row>
    <row r="308" spans="66:96" ht="19" customHeight="1" x14ac:dyDescent="0.35">
      <c r="BN308" s="1" t="str">
        <f t="shared" si="18"/>
        <v>CEMIG D|DESPESAS FINANCEIRAS|Encargos de variação monetária - Forluz</v>
      </c>
      <c r="BQ308" s="126" t="s">
        <v>154</v>
      </c>
      <c r="BR308" s="6" t="s">
        <v>200</v>
      </c>
      <c r="BS308" s="50">
        <v>0</v>
      </c>
      <c r="BT308" s="50">
        <v>0</v>
      </c>
      <c r="BU308" s="50">
        <v>0</v>
      </c>
      <c r="BV308" s="50">
        <v>0</v>
      </c>
      <c r="BW308" s="50">
        <v>0</v>
      </c>
      <c r="BX308" s="50">
        <v>0</v>
      </c>
      <c r="BY308" s="50">
        <v>0</v>
      </c>
      <c r="BZ308" s="50">
        <v>0</v>
      </c>
      <c r="CA308" s="50">
        <v>-520</v>
      </c>
      <c r="CB308" s="50">
        <v>-1770</v>
      </c>
      <c r="CC308" s="50">
        <v>-1934</v>
      </c>
      <c r="CD308" s="50">
        <v>-1998</v>
      </c>
      <c r="CE308" s="50">
        <v>-4475</v>
      </c>
      <c r="CF308" s="50">
        <v>-5980</v>
      </c>
      <c r="CG308" s="50">
        <v>-4279</v>
      </c>
      <c r="CH308" s="50">
        <v>-2588</v>
      </c>
      <c r="CI308" s="50">
        <v>-11761</v>
      </c>
      <c r="CJ308" s="50">
        <v>-10172</v>
      </c>
      <c r="CK308" s="50">
        <v>-14006</v>
      </c>
      <c r="CL308" s="50">
        <v>-11682</v>
      </c>
      <c r="CM308" s="50">
        <v>-11427</v>
      </c>
      <c r="CN308" s="50">
        <v>-13313</v>
      </c>
      <c r="CO308" s="50">
        <v>-13580</v>
      </c>
      <c r="CP308" s="50">
        <v>-8860</v>
      </c>
      <c r="CQ308" s="50">
        <v>-3199</v>
      </c>
      <c r="CR308" s="50">
        <v>-12558</v>
      </c>
    </row>
    <row r="309" spans="66:96" ht="19" customHeight="1" x14ac:dyDescent="0.35">
      <c r="BN309" s="1" t="str">
        <f t="shared" si="18"/>
        <v>CEMIG D|DESPESAS FINANCEIRAS|Variações monetárias</v>
      </c>
      <c r="BQ309" s="126" t="s">
        <v>154</v>
      </c>
      <c r="BR309" s="6" t="s">
        <v>194</v>
      </c>
      <c r="BS309" s="50">
        <v>0</v>
      </c>
      <c r="BT309" s="50">
        <v>0</v>
      </c>
      <c r="BU309" s="50">
        <v>3203</v>
      </c>
      <c r="BV309" s="50">
        <v>-3203</v>
      </c>
      <c r="BW309" s="50">
        <v>0</v>
      </c>
      <c r="BX309" s="50">
        <v>0</v>
      </c>
      <c r="BY309" s="50">
        <v>0</v>
      </c>
      <c r="BZ309" s="50">
        <v>0</v>
      </c>
      <c r="CA309" s="50">
        <v>0</v>
      </c>
      <c r="CB309" s="50">
        <v>0</v>
      </c>
      <c r="CC309" s="50">
        <v>0</v>
      </c>
      <c r="CD309" s="50">
        <v>0</v>
      </c>
      <c r="CE309" s="50">
        <v>0</v>
      </c>
      <c r="CF309" s="50">
        <v>0</v>
      </c>
      <c r="CG309" s="50">
        <v>0</v>
      </c>
      <c r="CH309" s="50">
        <v>0</v>
      </c>
      <c r="CI309" s="50">
        <v>0</v>
      </c>
      <c r="CJ309" s="50">
        <v>0</v>
      </c>
      <c r="CK309" s="50">
        <v>0</v>
      </c>
      <c r="CL309" s="50">
        <v>0</v>
      </c>
      <c r="CM309" s="50">
        <v>0</v>
      </c>
      <c r="CN309" s="50">
        <v>0</v>
      </c>
      <c r="CO309" s="50">
        <v>0</v>
      </c>
      <c r="CP309" s="50">
        <v>0</v>
      </c>
      <c r="CQ309" s="50">
        <v>0</v>
      </c>
      <c r="CR309" s="50">
        <v>0</v>
      </c>
    </row>
    <row r="310" spans="66:96" ht="19" customHeight="1" x14ac:dyDescent="0.35">
      <c r="BN310" s="1" t="str">
        <f t="shared" si="18"/>
        <v>CEMIG D|DESPESAS FINANCEIRAS|Variações cambiais de empréstimos e financiamentos</v>
      </c>
      <c r="BQ310" s="126" t="s">
        <v>154</v>
      </c>
      <c r="BR310" s="6" t="s">
        <v>192</v>
      </c>
      <c r="BS310" s="50">
        <v>0</v>
      </c>
      <c r="BT310" s="50">
        <v>0</v>
      </c>
      <c r="BU310" s="50">
        <v>0</v>
      </c>
      <c r="BV310" s="50">
        <v>0</v>
      </c>
      <c r="BW310" s="50">
        <v>0</v>
      </c>
      <c r="BX310" s="50">
        <v>0</v>
      </c>
      <c r="BY310" s="50">
        <v>0</v>
      </c>
      <c r="BZ310" s="50">
        <v>0</v>
      </c>
      <c r="CA310" s="50">
        <v>0</v>
      </c>
      <c r="CB310" s="50">
        <v>0</v>
      </c>
      <c r="CC310" s="50">
        <v>0</v>
      </c>
      <c r="CD310" s="50">
        <v>0</v>
      </c>
      <c r="CE310" s="50">
        <v>0</v>
      </c>
      <c r="CF310" s="50">
        <v>0</v>
      </c>
      <c r="CG310" s="50">
        <v>0</v>
      </c>
      <c r="CH310" s="50">
        <v>0</v>
      </c>
      <c r="CI310" s="50">
        <v>0</v>
      </c>
      <c r="CJ310" s="50">
        <v>0</v>
      </c>
      <c r="CK310" s="50">
        <v>881</v>
      </c>
      <c r="CL310" s="50">
        <v>0</v>
      </c>
      <c r="CM310" s="50">
        <v>0</v>
      </c>
      <c r="CN310" s="50">
        <v>-881</v>
      </c>
      <c r="CO310" s="50">
        <v>4780</v>
      </c>
      <c r="CP310" s="50">
        <v>-244</v>
      </c>
      <c r="CQ310" s="50">
        <v>0</v>
      </c>
      <c r="CR310" s="50">
        <v>-4536</v>
      </c>
    </row>
    <row r="311" spans="66:96" ht="19" customHeight="1" x14ac:dyDescent="0.35">
      <c r="BN311" s="1" t="str">
        <f t="shared" si="18"/>
        <v>CEMIG D|DESPESAS FINANCEIRAS|Variações cambiais de Itaipu</v>
      </c>
      <c r="BP311" s="392"/>
      <c r="BQ311" s="126" t="s">
        <v>154</v>
      </c>
      <c r="BR311" s="6" t="s">
        <v>193</v>
      </c>
      <c r="BS311" s="50">
        <v>0</v>
      </c>
      <c r="BT311" s="50">
        <v>0</v>
      </c>
      <c r="BU311" s="50">
        <v>0</v>
      </c>
      <c r="BV311" s="50">
        <v>0</v>
      </c>
      <c r="BW311" s="50">
        <v>0</v>
      </c>
      <c r="BX311" s="50">
        <v>0</v>
      </c>
      <c r="BY311" s="50">
        <v>-17608</v>
      </c>
      <c r="BZ311" s="50">
        <v>-8959</v>
      </c>
      <c r="CA311" s="50">
        <v>-8561</v>
      </c>
      <c r="CB311" s="50">
        <v>-2345</v>
      </c>
      <c r="CC311" s="50">
        <v>2466</v>
      </c>
      <c r="CD311" s="50">
        <v>-2466</v>
      </c>
      <c r="CE311" s="50">
        <v>0</v>
      </c>
      <c r="CF311" s="50">
        <v>0</v>
      </c>
      <c r="CG311" s="50">
        <v>14547</v>
      </c>
      <c r="CH311" s="50">
        <v>-14547</v>
      </c>
      <c r="CI311" s="50">
        <v>0</v>
      </c>
      <c r="CJ311" s="50">
        <v>0</v>
      </c>
      <c r="CK311" s="50">
        <v>-9005</v>
      </c>
      <c r="CL311" s="50">
        <v>-17752</v>
      </c>
      <c r="CM311" s="50">
        <v>16963</v>
      </c>
      <c r="CN311" s="50">
        <v>-16963</v>
      </c>
      <c r="CO311" s="50">
        <v>25361</v>
      </c>
      <c r="CP311" s="50">
        <v>-5672</v>
      </c>
      <c r="CQ311" s="50">
        <v>-32457</v>
      </c>
      <c r="CR311" s="50">
        <v>-34009</v>
      </c>
    </row>
    <row r="312" spans="66:96" ht="19" customHeight="1" x14ac:dyDescent="0.35">
      <c r="BN312" s="1" t="str">
        <f t="shared" si="18"/>
        <v>CEMIG D|DESPESAS FINANCEIRAS|Variação monetária de debêntures</v>
      </c>
      <c r="BP312" s="392"/>
      <c r="BQ312" s="126" t="s">
        <v>154</v>
      </c>
      <c r="BR312" s="6" t="s">
        <v>201</v>
      </c>
      <c r="BS312" s="50">
        <v>-197001</v>
      </c>
      <c r="BT312" s="50">
        <v>-80921</v>
      </c>
      <c r="BU312" s="50">
        <v>-43472</v>
      </c>
      <c r="BV312" s="50">
        <v>-42982</v>
      </c>
      <c r="BW312" s="50">
        <v>-58676</v>
      </c>
      <c r="BX312" s="50">
        <v>-118604</v>
      </c>
      <c r="BY312" s="50">
        <v>-94289</v>
      </c>
      <c r="BZ312" s="50">
        <v>-37984</v>
      </c>
      <c r="CA312" s="50">
        <v>-49310</v>
      </c>
      <c r="CB312" s="50">
        <v>-49859</v>
      </c>
      <c r="CC312" s="50">
        <v>-25443</v>
      </c>
      <c r="CD312" s="50">
        <v>-24330</v>
      </c>
      <c r="CE312" s="50">
        <v>-19590</v>
      </c>
      <c r="CF312" s="50">
        <v>-65428</v>
      </c>
      <c r="CG312" s="50">
        <v>-22563</v>
      </c>
      <c r="CH312" s="50">
        <v>0</v>
      </c>
      <c r="CI312" s="50">
        <v>-77589</v>
      </c>
      <c r="CJ312" s="50">
        <v>-62189</v>
      </c>
      <c r="CK312" s="50">
        <v>-95523</v>
      </c>
      <c r="CL312" s="50">
        <v>-68665</v>
      </c>
      <c r="CM312" s="50">
        <v>-50587</v>
      </c>
      <c r="CN312" s="50">
        <v>-70582</v>
      </c>
      <c r="CO312" s="50">
        <v>-55973</v>
      </c>
      <c r="CP312" s="50">
        <v>-35989</v>
      </c>
      <c r="CQ312" s="50">
        <v>0</v>
      </c>
      <c r="CR312" s="50">
        <v>-50392</v>
      </c>
    </row>
    <row r="313" spans="66:96" ht="19" customHeight="1" x14ac:dyDescent="0.35">
      <c r="BN313" s="1" t="str">
        <f t="shared" si="18"/>
        <v>CEMIG D|DESPESAS FINANCEIRAS|Atualização PIS/Pasep e Cofins a restituir</v>
      </c>
      <c r="BQ313" s="126" t="s">
        <v>154</v>
      </c>
      <c r="BR313" s="6" t="s">
        <v>202</v>
      </c>
      <c r="BS313" s="50">
        <v>-554</v>
      </c>
      <c r="BT313" s="50">
        <v>-557</v>
      </c>
      <c r="BU313" s="50">
        <v>1691</v>
      </c>
      <c r="BV313" s="50">
        <v>-739</v>
      </c>
      <c r="BW313" s="50">
        <v>-1816</v>
      </c>
      <c r="BX313" s="50">
        <v>-13030</v>
      </c>
      <c r="BY313" s="50">
        <v>20590</v>
      </c>
      <c r="BZ313" s="50">
        <v>0</v>
      </c>
      <c r="CA313" s="50">
        <v>0</v>
      </c>
      <c r="CB313" s="50">
        <v>-20590</v>
      </c>
      <c r="CC313" s="50">
        <v>-29116</v>
      </c>
      <c r="CD313" s="50">
        <v>-32160</v>
      </c>
      <c r="CE313" s="50">
        <v>-32445</v>
      </c>
      <c r="CF313" s="50">
        <v>-35736</v>
      </c>
      <c r="CG313" s="50">
        <v>-898043</v>
      </c>
      <c r="CH313" s="50">
        <v>-61608</v>
      </c>
      <c r="CI313" s="50">
        <v>-366020</v>
      </c>
      <c r="CJ313" s="50">
        <v>-9363</v>
      </c>
      <c r="CK313" s="50">
        <v>-5759</v>
      </c>
      <c r="CL313" s="50">
        <v>-6309</v>
      </c>
      <c r="CM313" s="50">
        <v>-4767</v>
      </c>
      <c r="CN313" s="50">
        <v>-8569</v>
      </c>
      <c r="CO313" s="50">
        <v>0</v>
      </c>
      <c r="CP313" s="50">
        <v>0</v>
      </c>
      <c r="CQ313" s="50">
        <v>0</v>
      </c>
      <c r="CR313" s="50">
        <v>0</v>
      </c>
    </row>
    <row r="314" spans="66:96" ht="19" customHeight="1" x14ac:dyDescent="0.35">
      <c r="BN314" s="1" t="str">
        <f t="shared" si="18"/>
        <v>CEMIG D|DESPESAS FINANCEIRAS|Variação monetária - CVA</v>
      </c>
      <c r="BQ314" s="126" t="s">
        <v>154</v>
      </c>
      <c r="BR314" s="6" t="s">
        <v>197</v>
      </c>
      <c r="BS314" s="50">
        <v>0</v>
      </c>
      <c r="BT314" s="50">
        <v>0</v>
      </c>
      <c r="BU314" s="50">
        <v>0</v>
      </c>
      <c r="BV314" s="50">
        <v>0</v>
      </c>
      <c r="BW314" s="50">
        <v>0</v>
      </c>
      <c r="BX314" s="50">
        <v>0</v>
      </c>
      <c r="BY314" s="50">
        <v>2721</v>
      </c>
      <c r="BZ314" s="50">
        <v>0</v>
      </c>
      <c r="CA314" s="50">
        <v>-2721</v>
      </c>
      <c r="CB314" s="50">
        <v>0</v>
      </c>
      <c r="CC314" s="50">
        <v>10973</v>
      </c>
      <c r="CD314" s="50">
        <v>-10973</v>
      </c>
      <c r="CE314" s="50">
        <v>0</v>
      </c>
      <c r="CF314" s="50">
        <v>0</v>
      </c>
      <c r="CG314" s="50">
        <v>0</v>
      </c>
      <c r="CH314" s="50">
        <v>0</v>
      </c>
      <c r="CI314" s="50">
        <v>0</v>
      </c>
      <c r="CJ314" s="50">
        <v>0</v>
      </c>
      <c r="CK314" s="50">
        <v>0</v>
      </c>
      <c r="CL314" s="50">
        <v>0</v>
      </c>
      <c r="CM314" s="50">
        <v>1541</v>
      </c>
      <c r="CN314" s="50">
        <v>-1541</v>
      </c>
      <c r="CO314" s="50">
        <v>0</v>
      </c>
      <c r="CP314" s="50">
        <v>0</v>
      </c>
      <c r="CQ314" s="50">
        <v>0</v>
      </c>
      <c r="CR314" s="50">
        <v>0</v>
      </c>
    </row>
    <row r="315" spans="66:96" ht="19" customHeight="1" x14ac:dyDescent="0.35">
      <c r="BN315" s="1" t="str">
        <f t="shared" si="18"/>
        <v>CEMIG D|DESPESAS FINANCEIRAS|Variação monetária de P&amp;D e PEE</v>
      </c>
      <c r="BP315" s="392"/>
      <c r="BQ315" s="126" t="s">
        <v>154</v>
      </c>
      <c r="BR315" s="6" t="s">
        <v>203</v>
      </c>
      <c r="BS315" s="50">
        <v>-10995</v>
      </c>
      <c r="BT315" s="50">
        <v>-11010</v>
      </c>
      <c r="BU315" s="50">
        <v>-11325</v>
      </c>
      <c r="BV315" s="50">
        <v>-11622</v>
      </c>
      <c r="BW315" s="50">
        <v>-10000</v>
      </c>
      <c r="BX315" s="50">
        <v>-8854</v>
      </c>
      <c r="BY315" s="50">
        <v>-7620</v>
      </c>
      <c r="BZ315" s="50">
        <v>-7484</v>
      </c>
      <c r="CA315" s="50">
        <v>-6541</v>
      </c>
      <c r="CB315" s="50">
        <v>-6839</v>
      </c>
      <c r="CC315" s="50">
        <v>-7771</v>
      </c>
      <c r="CD315" s="50">
        <v>-8800</v>
      </c>
      <c r="CE315" s="50">
        <v>-9412</v>
      </c>
      <c r="CF315" s="50">
        <v>-9888</v>
      </c>
      <c r="CG315" s="50">
        <v>-10023</v>
      </c>
      <c r="CH315" s="50">
        <v>-10619</v>
      </c>
      <c r="CI315" s="50">
        <v>-9130</v>
      </c>
      <c r="CJ315" s="50">
        <v>-7078</v>
      </c>
      <c r="CK315" s="50">
        <v>-6877</v>
      </c>
      <c r="CL315" s="50">
        <v>-2287</v>
      </c>
      <c r="CM315" s="50">
        <v>-1331</v>
      </c>
      <c r="CN315" s="50">
        <v>-1305</v>
      </c>
      <c r="CO315" s="50">
        <v>-4426</v>
      </c>
      <c r="CP315" s="50">
        <v>-4873</v>
      </c>
      <c r="CQ315" s="50">
        <v>-2270</v>
      </c>
      <c r="CR315" s="50">
        <v>-2952</v>
      </c>
    </row>
    <row r="316" spans="66:96" ht="19" customHeight="1" x14ac:dyDescent="0.35">
      <c r="BN316" s="1" t="str">
        <f t="shared" si="18"/>
        <v>CEMIG D|DESPESAS FINANCEIRAS|Variação monetária de arrendamentos</v>
      </c>
      <c r="BP316" s="392"/>
      <c r="BQ316" s="126" t="s">
        <v>154</v>
      </c>
      <c r="BR316" s="6" t="s">
        <v>204</v>
      </c>
      <c r="BS316" s="50">
        <v>-3921</v>
      </c>
      <c r="BT316" s="50">
        <v>-4029</v>
      </c>
      <c r="BU316" s="50">
        <v>-4199</v>
      </c>
      <c r="BV316" s="50">
        <v>-4346</v>
      </c>
      <c r="BW316" s="50">
        <v>-4375</v>
      </c>
      <c r="BX316" s="50">
        <v>-4079</v>
      </c>
      <c r="BY316" s="50">
        <v>-4169</v>
      </c>
      <c r="BZ316" s="50">
        <v>-4270</v>
      </c>
      <c r="CA316" s="50">
        <v>-4396</v>
      </c>
      <c r="CB316" s="50">
        <v>-6500</v>
      </c>
      <c r="CC316" s="50">
        <v>-6617</v>
      </c>
      <c r="CD316" s="50">
        <v>-6579</v>
      </c>
      <c r="CE316" s="50">
        <v>-6711</v>
      </c>
      <c r="CF316" s="50">
        <v>-6392</v>
      </c>
      <c r="CG316" s="50">
        <v>-5944</v>
      </c>
      <c r="CH316" s="50">
        <v>-4727</v>
      </c>
      <c r="CI316" s="50">
        <v>-4664</v>
      </c>
      <c r="CJ316" s="50">
        <v>-4847</v>
      </c>
      <c r="CK316" s="50">
        <v>-4956</v>
      </c>
      <c r="CL316" s="50">
        <v>-4714</v>
      </c>
      <c r="CM316" s="50">
        <v>-4590</v>
      </c>
      <c r="CN316" s="50">
        <v>-4962</v>
      </c>
      <c r="CO316" s="50">
        <v>-5160</v>
      </c>
      <c r="CP316" s="50">
        <v>-5116</v>
      </c>
      <c r="CQ316" s="50">
        <v>-5213</v>
      </c>
      <c r="CR316" s="50">
        <v>-5404</v>
      </c>
    </row>
    <row r="317" spans="66:96" ht="19" customHeight="1" x14ac:dyDescent="0.35">
      <c r="BN317" s="1" t="str">
        <f t="shared" si="18"/>
        <v>CEMIG D|DESPESAS FINANCEIRAS|Variação monetária de provisões</v>
      </c>
      <c r="BP317" s="392"/>
      <c r="BQ317" s="126"/>
      <c r="BR317" s="6" t="s">
        <v>828</v>
      </c>
      <c r="BS317" s="50">
        <v>-69631</v>
      </c>
      <c r="BT317" s="50">
        <v>0</v>
      </c>
      <c r="BU317" s="50">
        <v>0</v>
      </c>
      <c r="BV317" s="50">
        <v>0</v>
      </c>
      <c r="BW317" s="50">
        <v>-31200</v>
      </c>
      <c r="BX317" s="50">
        <v>0</v>
      </c>
      <c r="BY317" s="50">
        <v>0</v>
      </c>
      <c r="BZ317" s="50">
        <v>0</v>
      </c>
      <c r="CA317" s="50">
        <v>0</v>
      </c>
      <c r="CB317" s="50">
        <v>0</v>
      </c>
      <c r="CC317" s="50">
        <v>0</v>
      </c>
      <c r="CD317" s="50">
        <v>0</v>
      </c>
      <c r="CE317" s="50">
        <v>0</v>
      </c>
      <c r="CF317" s="50">
        <v>0</v>
      </c>
      <c r="CG317" s="50">
        <v>0</v>
      </c>
      <c r="CH317" s="50">
        <v>0</v>
      </c>
      <c r="CI317" s="50">
        <v>0</v>
      </c>
      <c r="CJ317" s="50">
        <v>0</v>
      </c>
      <c r="CK317" s="50">
        <v>0</v>
      </c>
      <c r="CL317" s="50">
        <v>0</v>
      </c>
      <c r="CM317" s="50">
        <v>0</v>
      </c>
      <c r="CN317" s="50">
        <v>0</v>
      </c>
      <c r="CO317" s="50">
        <v>0</v>
      </c>
      <c r="CP317" s="50">
        <v>0</v>
      </c>
      <c r="CQ317" s="50">
        <v>0</v>
      </c>
      <c r="CR317" s="50">
        <v>0</v>
      </c>
    </row>
    <row r="318" spans="66:96" ht="19" customHeight="1" x14ac:dyDescent="0.35">
      <c r="BN318" s="1" t="str">
        <f t="shared" si="18"/>
        <v>CEMIG D|DESPESAS FINANCEIRAS|Perda com Instrumentos Financeiros Derivativos (Swap)</v>
      </c>
      <c r="BP318" s="392"/>
      <c r="BQ318" s="126"/>
      <c r="BR318" s="6" t="s">
        <v>827</v>
      </c>
      <c r="BS318" s="50">
        <v>-34915</v>
      </c>
      <c r="BT318" s="50">
        <v>0</v>
      </c>
      <c r="BU318" s="50">
        <v>0</v>
      </c>
      <c r="BV318" s="50">
        <v>0</v>
      </c>
      <c r="BW318" s="50">
        <v>0</v>
      </c>
      <c r="BX318" s="50">
        <v>0</v>
      </c>
      <c r="BY318" s="50">
        <v>0</v>
      </c>
      <c r="BZ318" s="50">
        <v>0</v>
      </c>
      <c r="CA318" s="50">
        <v>0</v>
      </c>
      <c r="CB318" s="50">
        <v>0</v>
      </c>
      <c r="CC318" s="50">
        <v>0</v>
      </c>
      <c r="CD318" s="50">
        <v>0</v>
      </c>
      <c r="CE318" s="50">
        <v>0</v>
      </c>
      <c r="CF318" s="50">
        <v>0</v>
      </c>
      <c r="CG318" s="50">
        <v>0</v>
      </c>
      <c r="CH318" s="50">
        <v>0</v>
      </c>
      <c r="CI318" s="50">
        <v>0</v>
      </c>
      <c r="CJ318" s="50">
        <v>0</v>
      </c>
      <c r="CK318" s="50">
        <v>0</v>
      </c>
      <c r="CL318" s="50">
        <v>0</v>
      </c>
      <c r="CM318" s="50">
        <v>0</v>
      </c>
      <c r="CN318" s="50">
        <v>0</v>
      </c>
      <c r="CO318" s="50">
        <v>0</v>
      </c>
      <c r="CP318" s="50">
        <v>0</v>
      </c>
      <c r="CQ318" s="50">
        <v>0</v>
      </c>
      <c r="CR318" s="50">
        <v>0</v>
      </c>
    </row>
    <row r="319" spans="66:96" ht="19" customHeight="1" x14ac:dyDescent="0.35">
      <c r="BN319" s="1" t="str">
        <f t="shared" si="18"/>
        <v>CEMIG D|DESPESAS FINANCEIRAS|Atualização estimada de créditos de GD, líquida</v>
      </c>
      <c r="BP319" s="392"/>
      <c r="BQ319" s="126" t="s">
        <v>154</v>
      </c>
      <c r="BR319" s="6" t="s">
        <v>205</v>
      </c>
      <c r="BS319" s="50">
        <v>-168278</v>
      </c>
      <c r="BT319" s="50">
        <v>-3088</v>
      </c>
      <c r="BU319" s="50">
        <v>0</v>
      </c>
      <c r="BV319" s="50">
        <v>0</v>
      </c>
      <c r="BW319" s="50">
        <v>-75262</v>
      </c>
      <c r="BX319" s="50">
        <v>0</v>
      </c>
      <c r="BY319" s="50">
        <v>-1</v>
      </c>
      <c r="BZ319" s="50">
        <v>0</v>
      </c>
      <c r="CA319" s="50">
        <v>-37970</v>
      </c>
      <c r="CB319" s="50">
        <v>0</v>
      </c>
      <c r="CC319" s="50">
        <v>0</v>
      </c>
      <c r="CD319" s="50">
        <v>0</v>
      </c>
      <c r="CE319" s="50">
        <v>0</v>
      </c>
      <c r="CF319" s="50">
        <v>0</v>
      </c>
      <c r="CG319" s="50">
        <v>0</v>
      </c>
      <c r="CH319" s="50">
        <v>0</v>
      </c>
      <c r="CI319" s="50">
        <v>0</v>
      </c>
      <c r="CJ319" s="50">
        <v>0</v>
      </c>
      <c r="CK319" s="50">
        <v>0</v>
      </c>
      <c r="CL319" s="50">
        <v>0</v>
      </c>
      <c r="CM319" s="50">
        <v>0</v>
      </c>
      <c r="CN319" s="50">
        <v>0</v>
      </c>
      <c r="CO319" s="50">
        <v>0</v>
      </c>
      <c r="CP319" s="50">
        <v>0</v>
      </c>
      <c r="CQ319" s="50">
        <v>0</v>
      </c>
      <c r="CR319" s="50">
        <v>0</v>
      </c>
    </row>
    <row r="320" spans="66:96" ht="19" customHeight="1" x14ac:dyDescent="0.35">
      <c r="BN320" s="1" t="str">
        <f t="shared" si="18"/>
        <v>CEMIG D|DESPESAS FINANCEIRAS|Outras variações monetárias</v>
      </c>
      <c r="BP320" s="392"/>
      <c r="BQ320" s="126" t="s">
        <v>154</v>
      </c>
      <c r="BR320" s="6" t="s">
        <v>206</v>
      </c>
      <c r="BS320" s="50">
        <v>-3982</v>
      </c>
      <c r="BT320" s="50">
        <v>-28771</v>
      </c>
      <c r="BU320" s="50">
        <v>-3214</v>
      </c>
      <c r="BV320" s="50">
        <v>-2154</v>
      </c>
      <c r="BW320" s="50">
        <v>-4911</v>
      </c>
      <c r="BX320" s="50">
        <v>-3963</v>
      </c>
      <c r="BY320" s="50">
        <v>-5009</v>
      </c>
      <c r="BZ320" s="50">
        <v>-1988</v>
      </c>
      <c r="CA320" s="50">
        <v>-4449</v>
      </c>
      <c r="CB320" s="50">
        <v>-5603</v>
      </c>
      <c r="CC320" s="50">
        <v>-2120</v>
      </c>
      <c r="CD320" s="50">
        <v>-17476</v>
      </c>
      <c r="CE320" s="50">
        <v>-6567</v>
      </c>
      <c r="CF320" s="50">
        <v>-2835</v>
      </c>
      <c r="CG320" s="50">
        <v>-4741</v>
      </c>
      <c r="CH320" s="50">
        <v>-8376</v>
      </c>
      <c r="CI320" s="50">
        <v>-6428</v>
      </c>
      <c r="CJ320" s="50">
        <v>-5387</v>
      </c>
      <c r="CK320" s="50">
        <v>-8201</v>
      </c>
      <c r="CL320" s="50">
        <v>-4439</v>
      </c>
      <c r="CM320" s="50">
        <v>-7224</v>
      </c>
      <c r="CN320" s="50">
        <v>-3208</v>
      </c>
      <c r="CO320" s="50">
        <v>-23642</v>
      </c>
      <c r="CP320" s="50">
        <v>-5716</v>
      </c>
      <c r="CQ320" s="50">
        <v>-620</v>
      </c>
      <c r="CR320" s="50">
        <v>-697</v>
      </c>
    </row>
    <row r="321" spans="66:96" ht="19" customHeight="1" x14ac:dyDescent="0.35">
      <c r="BN321" s="1" t="str">
        <f t="shared" si="18"/>
        <v>CEMIG D|DESPESAS FINANCEIRAS|Outras</v>
      </c>
      <c r="BP321" s="392"/>
      <c r="BQ321" s="126" t="s">
        <v>154</v>
      </c>
      <c r="BR321" s="6" t="s">
        <v>199</v>
      </c>
      <c r="BS321" s="50">
        <v>-13026</v>
      </c>
      <c r="BT321" s="50">
        <v>-14651</v>
      </c>
      <c r="BU321" s="50">
        <v>-10302</v>
      </c>
      <c r="BV321" s="50">
        <v>-5977</v>
      </c>
      <c r="BW321" s="50">
        <v>-13921</v>
      </c>
      <c r="BX321" s="50">
        <v>-12629</v>
      </c>
      <c r="BY321" s="50">
        <v>-5239</v>
      </c>
      <c r="BZ321" s="50">
        <v>-13068</v>
      </c>
      <c r="CA321" s="50">
        <v>-13840</v>
      </c>
      <c r="CB321" s="50">
        <v>-30155</v>
      </c>
      <c r="CC321" s="50">
        <v>-9280</v>
      </c>
      <c r="CD321" s="50">
        <v>-26663</v>
      </c>
      <c r="CE321" s="50">
        <v>-19615</v>
      </c>
      <c r="CF321" s="50">
        <v>-19549</v>
      </c>
      <c r="CG321" s="50">
        <v>-2765</v>
      </c>
      <c r="CH321" s="50">
        <v>-3077</v>
      </c>
      <c r="CI321" s="50">
        <v>-18409</v>
      </c>
      <c r="CJ321" s="50">
        <v>-5818</v>
      </c>
      <c r="CK321" s="50">
        <v>-1355</v>
      </c>
      <c r="CL321" s="50">
        <v>-4341</v>
      </c>
      <c r="CM321" s="50">
        <v>-15228</v>
      </c>
      <c r="CN321" s="50">
        <v>-3413</v>
      </c>
      <c r="CO321" s="50">
        <v>-10375</v>
      </c>
      <c r="CP321" s="50">
        <v>-5126</v>
      </c>
      <c r="CQ321" s="50">
        <v>-2855</v>
      </c>
      <c r="CR321" s="50">
        <v>-1778</v>
      </c>
    </row>
    <row r="322" spans="66:96" ht="28" customHeight="1" x14ac:dyDescent="0.35">
      <c r="BQ322" s="126" t="s">
        <v>154</v>
      </c>
      <c r="BR322" s="39" t="s">
        <v>158</v>
      </c>
      <c r="BS322" s="58">
        <f t="shared" ref="BS322:CR322" si="19">SUM(BS292,BS305)</f>
        <v>-608194</v>
      </c>
      <c r="BT322" s="58">
        <f t="shared" si="19"/>
        <v>-283611</v>
      </c>
      <c r="BU322" s="58">
        <f t="shared" si="19"/>
        <v>-218302</v>
      </c>
      <c r="BV322" s="58">
        <f t="shared" si="19"/>
        <v>-208460</v>
      </c>
      <c r="BW322" s="58">
        <f t="shared" si="19"/>
        <v>-288643</v>
      </c>
      <c r="BX322" s="58">
        <f t="shared" si="19"/>
        <v>-202096</v>
      </c>
      <c r="BY322" s="58">
        <f t="shared" si="19"/>
        <v>-137897</v>
      </c>
      <c r="BZ322" s="58">
        <f t="shared" si="19"/>
        <v>-75596</v>
      </c>
      <c r="CA322" s="58">
        <f t="shared" si="19"/>
        <v>305458</v>
      </c>
      <c r="CB322" s="58">
        <f t="shared" si="19"/>
        <v>-108780</v>
      </c>
      <c r="CC322" s="58">
        <f t="shared" si="19"/>
        <v>-72913</v>
      </c>
      <c r="CD322" s="58">
        <f t="shared" si="19"/>
        <v>-99429</v>
      </c>
      <c r="CE322" s="58">
        <f t="shared" si="19"/>
        <v>11565</v>
      </c>
      <c r="CF322" s="58">
        <f t="shared" si="19"/>
        <v>-92348</v>
      </c>
      <c r="CG322" s="58">
        <f t="shared" si="19"/>
        <v>-819126</v>
      </c>
      <c r="CH322" s="58">
        <f t="shared" si="19"/>
        <v>11465</v>
      </c>
      <c r="CI322" s="58">
        <f t="shared" si="19"/>
        <v>-332387</v>
      </c>
      <c r="CJ322" s="58">
        <f t="shared" si="19"/>
        <v>24803</v>
      </c>
      <c r="CK322" s="58">
        <f t="shared" si="19"/>
        <v>-20596</v>
      </c>
      <c r="CL322" s="58">
        <f t="shared" si="19"/>
        <v>2606</v>
      </c>
      <c r="CM322" s="58">
        <f t="shared" si="19"/>
        <v>49913</v>
      </c>
      <c r="CN322" s="58">
        <f t="shared" si="19"/>
        <v>-39455</v>
      </c>
      <c r="CO322" s="58">
        <f t="shared" si="19"/>
        <v>-19035</v>
      </c>
      <c r="CP322" s="58">
        <f t="shared" si="19"/>
        <v>3348</v>
      </c>
      <c r="CQ322" s="58">
        <f t="shared" si="19"/>
        <v>59071</v>
      </c>
      <c r="CR322" s="58">
        <f t="shared" si="19"/>
        <v>-34416</v>
      </c>
    </row>
    <row r="323" spans="66:96" ht="30" customHeight="1" x14ac:dyDescent="0.35">
      <c r="BQ323" s="126" t="s">
        <v>154</v>
      </c>
    </row>
    <row r="324" spans="66:96" ht="30" customHeight="1" x14ac:dyDescent="0.35">
      <c r="BQ324" s="126" t="s">
        <v>154</v>
      </c>
    </row>
    <row r="325" spans="66:96" ht="40" customHeight="1" x14ac:dyDescent="0.35">
      <c r="BQ325" s="126" t="s">
        <v>154</v>
      </c>
      <c r="BR325" s="479" t="s">
        <v>117</v>
      </c>
      <c r="BS325" s="479"/>
      <c r="BT325" s="479"/>
      <c r="BU325" s="479"/>
      <c r="BV325" s="479"/>
      <c r="BW325" s="479"/>
      <c r="BX325" s="479"/>
      <c r="BY325" s="479"/>
      <c r="BZ325" s="479"/>
      <c r="CA325" s="479"/>
      <c r="CB325" s="479"/>
      <c r="CC325" s="479"/>
      <c r="CD325" s="479"/>
      <c r="CE325" s="479"/>
      <c r="CF325" s="479"/>
      <c r="CG325" s="479"/>
      <c r="CH325" s="479"/>
      <c r="CI325" s="479"/>
      <c r="CJ325" s="479"/>
      <c r="CK325" s="479"/>
      <c r="CL325" s="479"/>
      <c r="CM325" s="479"/>
      <c r="CN325" s="479"/>
      <c r="CO325" s="479"/>
      <c r="CP325" s="479"/>
      <c r="CQ325" s="479"/>
      <c r="CR325" s="479"/>
    </row>
    <row r="326" spans="66:96" ht="15" customHeight="1" x14ac:dyDescent="0.35">
      <c r="BQ326" s="126" t="s">
        <v>154</v>
      </c>
      <c r="BR326" s="82" t="s">
        <v>25</v>
      </c>
      <c r="BS326" s="82"/>
      <c r="BT326" s="82"/>
    </row>
    <row r="327" spans="66:96" ht="35.15" customHeight="1" x14ac:dyDescent="0.35">
      <c r="BQ327" s="126" t="s">
        <v>154</v>
      </c>
      <c r="BR327" s="87" t="s">
        <v>10</v>
      </c>
      <c r="BS327" s="167" t="str">
        <f t="shared" ref="BS327:CR327" si="20">BS251</f>
        <v>2T | 2026</v>
      </c>
      <c r="BT327" s="167" t="str">
        <f t="shared" si="20"/>
        <v>1T | 2026</v>
      </c>
      <c r="BU327" s="167" t="str">
        <f t="shared" si="20"/>
        <v>4T | 2025</v>
      </c>
      <c r="BV327" s="167" t="str">
        <f t="shared" si="20"/>
        <v>3T | 2025</v>
      </c>
      <c r="BW327" s="167" t="str">
        <f t="shared" si="20"/>
        <v>2T | 2025</v>
      </c>
      <c r="BX327" s="167" t="str">
        <f t="shared" si="20"/>
        <v>1T | 2025</v>
      </c>
      <c r="BY327" s="167" t="str">
        <f t="shared" si="20"/>
        <v>4T | 2024</v>
      </c>
      <c r="BZ327" s="167" t="str">
        <f t="shared" si="20"/>
        <v>3T | 2024</v>
      </c>
      <c r="CA327" s="167" t="str">
        <f t="shared" si="20"/>
        <v>2T | 2024</v>
      </c>
      <c r="CB327" s="167" t="str">
        <f t="shared" si="20"/>
        <v>1T | 2024</v>
      </c>
      <c r="CC327" s="167" t="str">
        <f t="shared" si="20"/>
        <v>4T | 2023</v>
      </c>
      <c r="CD327" s="167" t="str">
        <f t="shared" si="20"/>
        <v>3T | 2023</v>
      </c>
      <c r="CE327" s="167" t="str">
        <f t="shared" si="20"/>
        <v>2T | 2023</v>
      </c>
      <c r="CF327" s="167" t="str">
        <f t="shared" si="20"/>
        <v>1T | 2023</v>
      </c>
      <c r="CG327" s="167" t="str">
        <f t="shared" si="20"/>
        <v>4T | 2022</v>
      </c>
      <c r="CH327" s="167" t="str">
        <f t="shared" si="20"/>
        <v>3T | 2022</v>
      </c>
      <c r="CI327" s="167" t="str">
        <f t="shared" si="20"/>
        <v>2T | 2022</v>
      </c>
      <c r="CJ327" s="167" t="str">
        <f t="shared" si="20"/>
        <v>1T | 2022</v>
      </c>
      <c r="CK327" s="167" t="str">
        <f t="shared" si="20"/>
        <v>4T | 2021</v>
      </c>
      <c r="CL327" s="167" t="str">
        <f t="shared" si="20"/>
        <v>3T | 2021</v>
      </c>
      <c r="CM327" s="167" t="str">
        <f t="shared" si="20"/>
        <v>2T | 2021</v>
      </c>
      <c r="CN327" s="167" t="str">
        <f t="shared" si="20"/>
        <v>1T | 2021</v>
      </c>
      <c r="CO327" s="167" t="str">
        <f t="shared" si="20"/>
        <v>4T | 2020</v>
      </c>
      <c r="CP327" s="167" t="str">
        <f t="shared" si="20"/>
        <v>3T | 2020</v>
      </c>
      <c r="CQ327" s="167" t="str">
        <f t="shared" si="20"/>
        <v>2T | 2020</v>
      </c>
      <c r="CR327" s="167" t="str">
        <f t="shared" si="20"/>
        <v>1T | 2020</v>
      </c>
    </row>
    <row r="328" spans="66:96" ht="25" customHeight="1" x14ac:dyDescent="0.35">
      <c r="BN328" s="81" t="str">
        <f>BR328</f>
        <v>RECEITAS FINANCEIRAS</v>
      </c>
      <c r="BQ328" s="126" t="s">
        <v>154</v>
      </c>
      <c r="BR328" s="141" t="s">
        <v>160</v>
      </c>
      <c r="BS328" s="46">
        <f t="shared" ref="BS328:CR328" si="21">SUM(BS329:BS339)</f>
        <v>65341</v>
      </c>
      <c r="BT328" s="46">
        <f t="shared" si="21"/>
        <v>47785</v>
      </c>
      <c r="BU328" s="46">
        <f t="shared" si="21"/>
        <v>63334</v>
      </c>
      <c r="BV328" s="46">
        <f t="shared" si="21"/>
        <v>45387</v>
      </c>
      <c r="BW328" s="46">
        <f t="shared" si="21"/>
        <v>63963</v>
      </c>
      <c r="BX328" s="46">
        <f t="shared" si="21"/>
        <v>31621</v>
      </c>
      <c r="BY328" s="46">
        <f t="shared" si="21"/>
        <v>62638</v>
      </c>
      <c r="BZ328" s="46">
        <f t="shared" si="21"/>
        <v>129762</v>
      </c>
      <c r="CA328" s="46">
        <f t="shared" si="21"/>
        <v>127934</v>
      </c>
      <c r="CB328" s="46">
        <f t="shared" si="21"/>
        <v>81867</v>
      </c>
      <c r="CC328" s="46">
        <f t="shared" si="21"/>
        <v>-5055</v>
      </c>
      <c r="CD328" s="46">
        <f t="shared" si="21"/>
        <v>179780</v>
      </c>
      <c r="CE328" s="46">
        <f t="shared" si="21"/>
        <v>310387</v>
      </c>
      <c r="CF328" s="46">
        <f t="shared" si="21"/>
        <v>173259</v>
      </c>
      <c r="CG328" s="46">
        <f t="shared" si="21"/>
        <v>-585409</v>
      </c>
      <c r="CH328" s="46">
        <f t="shared" si="21"/>
        <v>178240</v>
      </c>
      <c r="CI328" s="46">
        <f t="shared" si="21"/>
        <v>113292</v>
      </c>
      <c r="CJ328" s="46">
        <f t="shared" si="21"/>
        <v>897909</v>
      </c>
      <c r="CK328" s="46">
        <f t="shared" si="21"/>
        <v>-1034763</v>
      </c>
      <c r="CL328" s="46">
        <f t="shared" si="21"/>
        <v>73753</v>
      </c>
      <c r="CM328" s="46">
        <f t="shared" si="21"/>
        <v>1076073</v>
      </c>
      <c r="CN328" s="46">
        <f t="shared" si="21"/>
        <v>22970</v>
      </c>
      <c r="CO328" s="46">
        <f t="shared" si="21"/>
        <v>-526</v>
      </c>
      <c r="CP328" s="46">
        <f t="shared" si="21"/>
        <v>31380</v>
      </c>
      <c r="CQ328" s="46">
        <f t="shared" si="21"/>
        <v>517292</v>
      </c>
      <c r="CR328" s="46">
        <f t="shared" si="21"/>
        <v>1341869</v>
      </c>
    </row>
    <row r="329" spans="66:96" ht="19" customHeight="1" x14ac:dyDescent="0.35">
      <c r="BN329" s="1" t="str">
        <f>_xlfn.CONCAT($BR$325,"|",$BR$328,"|",BR329)</f>
        <v>CEMIG GT|RECEITAS FINANCEIRAS|Renda de aplicação financeira</v>
      </c>
      <c r="BP329" s="392"/>
      <c r="BQ329" s="126" t="s">
        <v>154</v>
      </c>
      <c r="BR329" s="142" t="s">
        <v>161</v>
      </c>
      <c r="BS329" s="76">
        <v>41204</v>
      </c>
      <c r="BT329" s="76">
        <v>19796</v>
      </c>
      <c r="BU329" s="76">
        <v>47548</v>
      </c>
      <c r="BV329" s="76">
        <v>25887</v>
      </c>
      <c r="BW329" s="76">
        <v>49367</v>
      </c>
      <c r="BX329" s="76">
        <v>24474</v>
      </c>
      <c r="BY329" s="76">
        <v>67500</v>
      </c>
      <c r="BZ329" s="76">
        <v>67141</v>
      </c>
      <c r="CA329" s="76">
        <v>40321</v>
      </c>
      <c r="CB329" s="76">
        <v>24234</v>
      </c>
      <c r="CC329" s="76">
        <v>70259</v>
      </c>
      <c r="CD329" s="76">
        <v>44224</v>
      </c>
      <c r="CE329" s="76">
        <v>46614</v>
      </c>
      <c r="CF329" s="76">
        <v>53541</v>
      </c>
      <c r="CG329" s="76">
        <v>72712</v>
      </c>
      <c r="CH329" s="76">
        <v>60093</v>
      </c>
      <c r="CI329" s="76">
        <v>41475</v>
      </c>
      <c r="CJ329" s="76">
        <v>35885</v>
      </c>
      <c r="CK329" s="76">
        <v>27660</v>
      </c>
      <c r="CL329" s="76">
        <v>19977</v>
      </c>
      <c r="CM329" s="76">
        <v>18246</v>
      </c>
      <c r="CN329" s="76">
        <v>8915</v>
      </c>
      <c r="CO329" s="76">
        <v>10730</v>
      </c>
      <c r="CP329" s="76">
        <v>7163</v>
      </c>
      <c r="CQ329" s="76">
        <v>8095</v>
      </c>
      <c r="CR329" s="76">
        <v>7280</v>
      </c>
    </row>
    <row r="330" spans="66:96" ht="19" customHeight="1" x14ac:dyDescent="0.35">
      <c r="BN330" s="1" t="str">
        <f t="shared" ref="BN330:BN339" si="22">_xlfn.CONCAT($BR$325,"|",$BR$328,"|",BR330)</f>
        <v>CEMIG GT|RECEITAS FINANCEIRAS|Acréscimos moratórios sobre venda de energia</v>
      </c>
      <c r="BP330" s="392"/>
      <c r="BQ330" s="126" t="s">
        <v>154</v>
      </c>
      <c r="BR330" s="142" t="s">
        <v>162</v>
      </c>
      <c r="BS330" s="76">
        <v>1963</v>
      </c>
      <c r="BT330" s="76">
        <v>1846</v>
      </c>
      <c r="BU330" s="76">
        <v>1440</v>
      </c>
      <c r="BV330" s="76">
        <v>1854</v>
      </c>
      <c r="BW330" s="76">
        <v>1784</v>
      </c>
      <c r="BX330" s="76">
        <v>1293</v>
      </c>
      <c r="BY330" s="76">
        <v>2832</v>
      </c>
      <c r="BZ330" s="76">
        <v>1158</v>
      </c>
      <c r="CA330" s="76">
        <v>1713</v>
      </c>
      <c r="CB330" s="76">
        <v>915</v>
      </c>
      <c r="CC330" s="76">
        <v>1055</v>
      </c>
      <c r="CD330" s="76">
        <v>779</v>
      </c>
      <c r="CE330" s="76">
        <v>2969</v>
      </c>
      <c r="CF330" s="76">
        <v>6411</v>
      </c>
      <c r="CG330" s="76">
        <v>4005</v>
      </c>
      <c r="CH330" s="76">
        <v>3139</v>
      </c>
      <c r="CI330" s="76">
        <v>2534</v>
      </c>
      <c r="CJ330" s="76">
        <v>2097</v>
      </c>
      <c r="CK330" s="76">
        <v>2786</v>
      </c>
      <c r="CL330" s="76">
        <v>1609</v>
      </c>
      <c r="CM330" s="76">
        <v>1804</v>
      </c>
      <c r="CN330" s="76">
        <v>1359</v>
      </c>
      <c r="CO330" s="76">
        <v>2455</v>
      </c>
      <c r="CP330" s="76">
        <v>1633</v>
      </c>
      <c r="CQ330" s="76">
        <v>2794</v>
      </c>
      <c r="CR330" s="76">
        <v>2046</v>
      </c>
    </row>
    <row r="331" spans="66:96" ht="19" customHeight="1" x14ac:dyDescent="0.35">
      <c r="BN331" s="1" t="str">
        <f t="shared" si="22"/>
        <v>CEMIG GT|RECEITAS FINANCEIRAS|Variação monetária</v>
      </c>
      <c r="BP331" s="392"/>
      <c r="BQ331" s="126" t="s">
        <v>154</v>
      </c>
      <c r="BR331" s="142" t="s">
        <v>165</v>
      </c>
      <c r="BS331" s="76">
        <v>5845</v>
      </c>
      <c r="BT331" s="76">
        <v>11575</v>
      </c>
      <c r="BU331" s="76">
        <v>6077</v>
      </c>
      <c r="BV331" s="32">
        <v>5262</v>
      </c>
      <c r="BW331" s="32">
        <v>4407</v>
      </c>
      <c r="BX331" s="32">
        <v>1513</v>
      </c>
      <c r="BY331" s="32">
        <v>8010</v>
      </c>
      <c r="BZ331" s="32">
        <v>2312</v>
      </c>
      <c r="CA331" s="32">
        <v>5171</v>
      </c>
      <c r="CB331" s="32">
        <v>11629</v>
      </c>
      <c r="CC331" s="32">
        <v>51878</v>
      </c>
      <c r="CD331" s="32">
        <v>32098</v>
      </c>
      <c r="CE331" s="32">
        <v>47692</v>
      </c>
      <c r="CF331" s="32">
        <v>3699</v>
      </c>
      <c r="CG331" s="32">
        <v>2638</v>
      </c>
      <c r="CH331" s="32">
        <v>15325</v>
      </c>
      <c r="CI331" s="32">
        <v>10906</v>
      </c>
      <c r="CJ331" s="32">
        <v>10737</v>
      </c>
      <c r="CK331" s="32">
        <v>4661</v>
      </c>
      <c r="CL331" s="32">
        <v>15425</v>
      </c>
      <c r="CM331" s="32">
        <v>3292</v>
      </c>
      <c r="CN331" s="32">
        <v>2227</v>
      </c>
      <c r="CO331" s="32">
        <v>10213</v>
      </c>
      <c r="CP331" s="32">
        <v>1756</v>
      </c>
      <c r="CQ331" s="32">
        <v>2860</v>
      </c>
      <c r="CR331" s="32">
        <v>2124</v>
      </c>
    </row>
    <row r="332" spans="66:96" ht="19" customHeight="1" x14ac:dyDescent="0.35">
      <c r="BN332" s="1" t="str">
        <f t="shared" si="22"/>
        <v>CEMIG GT|RECEITAS FINANCEIRAS|Variação monetária – Empréstimos, financiamentos e debêntures</v>
      </c>
      <c r="BQ332" s="126" t="s">
        <v>154</v>
      </c>
      <c r="BR332" s="142" t="s">
        <v>207</v>
      </c>
      <c r="BS332" s="76">
        <v>0</v>
      </c>
      <c r="BT332" s="76">
        <v>0</v>
      </c>
      <c r="BU332" s="76">
        <v>0</v>
      </c>
      <c r="BV332" s="32">
        <v>0</v>
      </c>
      <c r="BW332" s="32">
        <v>0</v>
      </c>
      <c r="BX332" s="32">
        <v>0</v>
      </c>
      <c r="BY332" s="32">
        <v>0</v>
      </c>
      <c r="BZ332" s="32">
        <v>0</v>
      </c>
      <c r="CA332" s="32">
        <v>0</v>
      </c>
      <c r="CB332" s="32">
        <v>0</v>
      </c>
      <c r="CC332" s="32">
        <v>0</v>
      </c>
      <c r="CD332" s="32">
        <v>0</v>
      </c>
      <c r="CE332" s="32">
        <v>0</v>
      </c>
      <c r="CF332" s="32">
        <v>0</v>
      </c>
      <c r="CG332" s="32">
        <v>0</v>
      </c>
      <c r="CH332" s="32">
        <v>0</v>
      </c>
      <c r="CI332" s="32">
        <v>0</v>
      </c>
      <c r="CJ332" s="32">
        <v>0</v>
      </c>
      <c r="CK332" s="32">
        <v>0</v>
      </c>
      <c r="CL332" s="32">
        <v>0</v>
      </c>
      <c r="CM332" s="32">
        <v>0</v>
      </c>
      <c r="CN332" s="32">
        <v>0</v>
      </c>
      <c r="CO332" s="32">
        <v>-4018</v>
      </c>
      <c r="CP332" s="32">
        <v>0</v>
      </c>
      <c r="CQ332" s="32">
        <v>4018</v>
      </c>
      <c r="CR332" s="32">
        <v>0</v>
      </c>
    </row>
    <row r="333" spans="66:96" ht="19" customHeight="1" x14ac:dyDescent="0.35">
      <c r="BN333" s="1" t="str">
        <f t="shared" si="22"/>
        <v>CEMIG GT|RECEITAS FINANCEIRAS|Variação monetária/depósitos vinculados a litígios</v>
      </c>
      <c r="BP333" s="392"/>
      <c r="BQ333" s="126" t="s">
        <v>154</v>
      </c>
      <c r="BR333" s="142" t="s">
        <v>208</v>
      </c>
      <c r="BS333" s="76">
        <v>2750</v>
      </c>
      <c r="BT333" s="76">
        <v>2324</v>
      </c>
      <c r="BU333" s="76">
        <v>3030</v>
      </c>
      <c r="BV333" s="32">
        <v>3413</v>
      </c>
      <c r="BW333" s="32">
        <v>3106</v>
      </c>
      <c r="BX333" s="32">
        <v>2803</v>
      </c>
      <c r="BY333" s="32">
        <v>2728</v>
      </c>
      <c r="BZ333" s="32">
        <v>2292</v>
      </c>
      <c r="CA333" s="32">
        <v>2376</v>
      </c>
      <c r="CB333" s="32">
        <v>2597</v>
      </c>
      <c r="CC333" s="32">
        <v>2661</v>
      </c>
      <c r="CD333" s="32">
        <v>3094</v>
      </c>
      <c r="CE333" s="32">
        <v>3504</v>
      </c>
      <c r="CF333" s="32">
        <v>1920</v>
      </c>
      <c r="CG333" s="32">
        <v>3998</v>
      </c>
      <c r="CH333" s="32">
        <v>4414</v>
      </c>
      <c r="CI333" s="32">
        <v>2605</v>
      </c>
      <c r="CJ333" s="32">
        <v>2249</v>
      </c>
      <c r="CK333" s="32">
        <v>1985</v>
      </c>
      <c r="CL333" s="32">
        <v>813</v>
      </c>
      <c r="CM333" s="32">
        <v>683</v>
      </c>
      <c r="CN333" s="32">
        <v>260</v>
      </c>
      <c r="CO333" s="32">
        <v>730</v>
      </c>
      <c r="CP333" s="32">
        <v>602</v>
      </c>
      <c r="CQ333" s="32">
        <v>1029</v>
      </c>
      <c r="CR333" s="32">
        <v>1512</v>
      </c>
    </row>
    <row r="334" spans="66:96" ht="19" customHeight="1" x14ac:dyDescent="0.35">
      <c r="BN334" s="1" t="str">
        <f t="shared" si="22"/>
        <v>CEMIG GT|RECEITAS FINANCEIRAS|Variações cambiais de empréstimos</v>
      </c>
      <c r="BQ334" s="126" t="s">
        <v>154</v>
      </c>
      <c r="BR334" s="142" t="s">
        <v>209</v>
      </c>
      <c r="BS334" s="76">
        <v>0</v>
      </c>
      <c r="BT334" s="76">
        <v>4689</v>
      </c>
      <c r="BU334" s="76">
        <v>-5808</v>
      </c>
      <c r="BV334" s="32">
        <v>5808</v>
      </c>
      <c r="BW334" s="32">
        <v>0</v>
      </c>
      <c r="BX334" s="32">
        <v>0</v>
      </c>
      <c r="BY334" s="32">
        <v>-42227</v>
      </c>
      <c r="BZ334" s="32">
        <v>42227</v>
      </c>
      <c r="CA334" s="32">
        <v>0</v>
      </c>
      <c r="CB334" s="32">
        <v>0</v>
      </c>
      <c r="CC334" s="32">
        <v>-24623</v>
      </c>
      <c r="CD334" s="32">
        <v>0</v>
      </c>
      <c r="CE334" s="32">
        <v>197496</v>
      </c>
      <c r="CF334" s="32">
        <v>103814</v>
      </c>
      <c r="CG334" s="32">
        <v>-604522</v>
      </c>
      <c r="CH334" s="32">
        <v>100087</v>
      </c>
      <c r="CI334" s="32">
        <v>0</v>
      </c>
      <c r="CJ334" s="32">
        <v>842700</v>
      </c>
      <c r="CK334" s="32">
        <v>-1078286</v>
      </c>
      <c r="CL334" s="32">
        <v>35636</v>
      </c>
      <c r="CM334" s="32">
        <v>1042650</v>
      </c>
      <c r="CN334" s="32">
        <v>0</v>
      </c>
      <c r="CO334" s="32">
        <v>0</v>
      </c>
      <c r="CP334" s="32">
        <v>0</v>
      </c>
      <c r="CQ334" s="32">
        <v>0</v>
      </c>
      <c r="CR334" s="32">
        <v>0</v>
      </c>
    </row>
    <row r="335" spans="66:96" ht="19" customHeight="1" x14ac:dyDescent="0.35">
      <c r="BN335" s="1" t="str">
        <f t="shared" si="22"/>
        <v>CEMIG GT|RECEITAS FINANCEIRAS|Ganhos com inst. financeiros derivativos</v>
      </c>
      <c r="BQ335" s="126" t="s">
        <v>154</v>
      </c>
      <c r="BR335" s="142" t="s">
        <v>210</v>
      </c>
      <c r="BS335" s="76">
        <v>0</v>
      </c>
      <c r="BT335" s="76">
        <v>0</v>
      </c>
      <c r="BU335" s="76">
        <v>0</v>
      </c>
      <c r="BV335" s="32">
        <v>0</v>
      </c>
      <c r="BW335" s="32">
        <v>0</v>
      </c>
      <c r="BX335" s="32">
        <v>0</v>
      </c>
      <c r="BY335" s="32">
        <v>21242</v>
      </c>
      <c r="BZ335" s="32">
        <v>13285</v>
      </c>
      <c r="CA335" s="32">
        <v>70018</v>
      </c>
      <c r="CB335" s="32">
        <v>42032</v>
      </c>
      <c r="CC335" s="32">
        <v>-102428</v>
      </c>
      <c r="CD335" s="32">
        <v>102428</v>
      </c>
      <c r="CE335" s="32">
        <v>0</v>
      </c>
      <c r="CF335" s="32">
        <v>0</v>
      </c>
      <c r="CG335" s="32">
        <v>-54620</v>
      </c>
      <c r="CH335" s="32">
        <v>0</v>
      </c>
      <c r="CI335" s="32">
        <v>54620</v>
      </c>
      <c r="CJ335" s="32">
        <v>0</v>
      </c>
      <c r="CK335" s="32">
        <v>0</v>
      </c>
      <c r="CL335" s="32">
        <v>0</v>
      </c>
      <c r="CM335" s="32">
        <v>0</v>
      </c>
      <c r="CN335" s="32">
        <v>0</v>
      </c>
      <c r="CO335" s="32">
        <v>-50923</v>
      </c>
      <c r="CP335" s="32">
        <v>2651</v>
      </c>
      <c r="CQ335" s="32">
        <v>486720</v>
      </c>
      <c r="CR335" s="32">
        <v>1314240</v>
      </c>
    </row>
    <row r="336" spans="66:96" ht="19" customHeight="1" x14ac:dyDescent="0.35">
      <c r="BN336" s="1" t="str">
        <f t="shared" si="22"/>
        <v>CEMIG GT|RECEITAS FINANCEIRAS|Encargos de créditos com partes relacionadas</v>
      </c>
      <c r="BQ336" s="126" t="s">
        <v>154</v>
      </c>
      <c r="BR336" s="142" t="s">
        <v>171</v>
      </c>
      <c r="BS336" s="76">
        <v>0</v>
      </c>
      <c r="BT336" s="76">
        <v>0</v>
      </c>
      <c r="BU336" s="76">
        <v>2817</v>
      </c>
      <c r="BV336" s="32">
        <v>0</v>
      </c>
      <c r="BW336" s="32">
        <v>0</v>
      </c>
      <c r="BX336" s="32">
        <v>0</v>
      </c>
      <c r="BY336" s="32">
        <v>0</v>
      </c>
      <c r="BZ336" s="32">
        <v>0</v>
      </c>
      <c r="CA336" s="32">
        <v>0</v>
      </c>
      <c r="CB336" s="32">
        <v>0</v>
      </c>
      <c r="CC336" s="32">
        <v>0</v>
      </c>
      <c r="CD336" s="32">
        <v>0</v>
      </c>
      <c r="CE336" s="32">
        <v>0</v>
      </c>
      <c r="CF336" s="32">
        <v>0</v>
      </c>
      <c r="CG336" s="32">
        <v>0</v>
      </c>
      <c r="CH336" s="32">
        <v>0</v>
      </c>
      <c r="CI336" s="32">
        <v>0</v>
      </c>
      <c r="CJ336" s="32">
        <v>0</v>
      </c>
      <c r="CK336" s="32">
        <v>0</v>
      </c>
      <c r="CL336" s="32">
        <v>0</v>
      </c>
      <c r="CM336" s="32">
        <v>0</v>
      </c>
      <c r="CN336" s="32">
        <v>0</v>
      </c>
      <c r="CO336" s="32">
        <v>-2680</v>
      </c>
      <c r="CP336" s="32">
        <v>0</v>
      </c>
      <c r="CQ336" s="32">
        <v>2680</v>
      </c>
      <c r="CR336" s="32">
        <v>0</v>
      </c>
    </row>
    <row r="337" spans="66:96" ht="19" customHeight="1" x14ac:dyDescent="0.35">
      <c r="BN337" s="1" t="str">
        <f t="shared" si="22"/>
        <v>CEMIG GT|RECEITAS FINANCEIRAS|Atualização dos créditos de PIS/Pasep e Cofins</v>
      </c>
      <c r="BP337" s="392"/>
      <c r="BQ337" s="126" t="s">
        <v>154</v>
      </c>
      <c r="BR337" s="142" t="s">
        <v>198</v>
      </c>
      <c r="BS337" s="76">
        <v>147</v>
      </c>
      <c r="BT337" s="76">
        <v>2006</v>
      </c>
      <c r="BU337" s="76">
        <v>1896</v>
      </c>
      <c r="BV337" s="32">
        <v>0</v>
      </c>
      <c r="BW337" s="32">
        <v>0</v>
      </c>
      <c r="BX337" s="32">
        <v>0</v>
      </c>
      <c r="BY337" s="32">
        <v>0</v>
      </c>
      <c r="BZ337" s="32">
        <v>0</v>
      </c>
      <c r="CA337" s="32">
        <v>0</v>
      </c>
      <c r="CB337" s="32">
        <v>0</v>
      </c>
      <c r="CC337" s="32">
        <v>0</v>
      </c>
      <c r="CD337" s="32">
        <v>0</v>
      </c>
      <c r="CE337" s="32">
        <v>0</v>
      </c>
      <c r="CF337" s="32">
        <v>0</v>
      </c>
      <c r="CG337" s="32">
        <v>-575</v>
      </c>
      <c r="CH337" s="32">
        <v>0</v>
      </c>
      <c r="CI337" s="32">
        <v>0</v>
      </c>
      <c r="CJ337" s="32">
        <v>575</v>
      </c>
      <c r="CK337" s="32">
        <v>387</v>
      </c>
      <c r="CL337" s="32">
        <v>2062</v>
      </c>
      <c r="CM337" s="32">
        <v>1087</v>
      </c>
      <c r="CN337" s="32">
        <v>976</v>
      </c>
      <c r="CO337" s="32">
        <v>1531</v>
      </c>
      <c r="CP337" s="32">
        <v>2107</v>
      </c>
      <c r="CQ337" s="32">
        <v>3557</v>
      </c>
      <c r="CR337" s="32">
        <v>4302</v>
      </c>
    </row>
    <row r="338" spans="66:96" ht="19" customHeight="1" x14ac:dyDescent="0.35">
      <c r="BN338" s="1" t="str">
        <f t="shared" si="22"/>
        <v>CEMIG GT|RECEITAS FINANCEIRAS|Outras</v>
      </c>
      <c r="BP338" s="392"/>
      <c r="BQ338" s="126" t="s">
        <v>154</v>
      </c>
      <c r="BR338" s="142" t="s">
        <v>199</v>
      </c>
      <c r="BS338" s="76">
        <v>16123</v>
      </c>
      <c r="BT338" s="76">
        <v>7286</v>
      </c>
      <c r="BU338" s="76">
        <v>8849</v>
      </c>
      <c r="BV338" s="32">
        <v>4392</v>
      </c>
      <c r="BW338" s="32">
        <v>7935</v>
      </c>
      <c r="BX338" s="32">
        <v>2765</v>
      </c>
      <c r="BY338" s="32">
        <v>6250</v>
      </c>
      <c r="BZ338" s="32">
        <v>4449</v>
      </c>
      <c r="CA338" s="32">
        <v>10556</v>
      </c>
      <c r="CB338" s="32">
        <v>2142</v>
      </c>
      <c r="CC338" s="32">
        <v>1737</v>
      </c>
      <c r="CD338" s="32">
        <v>261</v>
      </c>
      <c r="CE338" s="32">
        <v>16774</v>
      </c>
      <c r="CF338" s="32">
        <v>6567</v>
      </c>
      <c r="CG338" s="32">
        <v>4079</v>
      </c>
      <c r="CH338" s="32">
        <v>1421</v>
      </c>
      <c r="CI338" s="32">
        <v>3407</v>
      </c>
      <c r="CJ338" s="32">
        <v>5869</v>
      </c>
      <c r="CK338" s="32">
        <v>7650</v>
      </c>
      <c r="CL338" s="32">
        <v>0</v>
      </c>
      <c r="CM338" s="32">
        <v>9640</v>
      </c>
      <c r="CN338" s="32">
        <v>10182</v>
      </c>
      <c r="CO338" s="32">
        <v>33882</v>
      </c>
      <c r="CP338" s="32">
        <v>16553</v>
      </c>
      <c r="CQ338" s="32">
        <v>4806</v>
      </c>
      <c r="CR338" s="32">
        <v>11528</v>
      </c>
    </row>
    <row r="339" spans="66:96" ht="19" customHeight="1" x14ac:dyDescent="0.35">
      <c r="BN339" s="1" t="str">
        <f t="shared" si="22"/>
        <v>CEMIG GT|RECEITAS FINANCEIRAS|PIS/Pasep e Cofins sobre receitas financeiras</v>
      </c>
      <c r="BP339" s="392"/>
      <c r="BQ339" s="126" t="s">
        <v>154</v>
      </c>
      <c r="BR339" s="142" t="s">
        <v>211</v>
      </c>
      <c r="BS339" s="76">
        <v>-2691</v>
      </c>
      <c r="BT339" s="76">
        <v>-1737</v>
      </c>
      <c r="BU339" s="76">
        <v>-2515</v>
      </c>
      <c r="BV339" s="32">
        <v>-1229</v>
      </c>
      <c r="BW339" s="32">
        <v>-2636</v>
      </c>
      <c r="BX339" s="32">
        <v>-1227</v>
      </c>
      <c r="BY339" s="32">
        <v>-3697</v>
      </c>
      <c r="BZ339" s="32">
        <v>-3102</v>
      </c>
      <c r="CA339" s="32">
        <v>-2221</v>
      </c>
      <c r="CB339" s="32">
        <v>-1682</v>
      </c>
      <c r="CC339" s="32">
        <v>-5594</v>
      </c>
      <c r="CD339" s="32">
        <v>-3104</v>
      </c>
      <c r="CE339" s="32">
        <v>-4662</v>
      </c>
      <c r="CF339" s="32">
        <v>-2693</v>
      </c>
      <c r="CG339" s="32">
        <v>-13124</v>
      </c>
      <c r="CH339" s="32">
        <v>-6239</v>
      </c>
      <c r="CI339" s="32">
        <v>-2255</v>
      </c>
      <c r="CJ339" s="32">
        <v>-2203</v>
      </c>
      <c r="CK339" s="32">
        <v>-1606</v>
      </c>
      <c r="CL339" s="32">
        <v>-1769</v>
      </c>
      <c r="CM339" s="32">
        <v>-1329</v>
      </c>
      <c r="CN339" s="32">
        <v>-949</v>
      </c>
      <c r="CO339" s="32">
        <v>-2446</v>
      </c>
      <c r="CP339" s="32">
        <v>-1085</v>
      </c>
      <c r="CQ339" s="32">
        <v>733</v>
      </c>
      <c r="CR339" s="32">
        <v>-1163</v>
      </c>
    </row>
    <row r="340" spans="66:96" ht="25" customHeight="1" x14ac:dyDescent="0.35">
      <c r="BN340" s="81" t="str">
        <f>BR340</f>
        <v>DESPESAS FINANCEIRAS</v>
      </c>
      <c r="BO340" s="81"/>
      <c r="BP340" s="81"/>
      <c r="BQ340" s="126" t="s">
        <v>154</v>
      </c>
      <c r="BR340" s="141" t="s">
        <v>175</v>
      </c>
      <c r="BS340" s="46">
        <f t="shared" ref="BS340:CR340" si="23">SUM(BS341:BS352)</f>
        <v>-185201</v>
      </c>
      <c r="BT340" s="46">
        <f t="shared" si="23"/>
        <v>-99307</v>
      </c>
      <c r="BU340" s="46">
        <f t="shared" si="23"/>
        <v>-97159</v>
      </c>
      <c r="BV340" s="46">
        <f t="shared" si="23"/>
        <v>-72669</v>
      </c>
      <c r="BW340" s="46">
        <f t="shared" si="23"/>
        <v>-72797</v>
      </c>
      <c r="BX340" s="46">
        <f t="shared" si="23"/>
        <v>-47175</v>
      </c>
      <c r="BY340" s="46">
        <f t="shared" si="23"/>
        <v>-284287</v>
      </c>
      <c r="BZ340" s="46">
        <f t="shared" si="23"/>
        <v>-93386</v>
      </c>
      <c r="CA340" s="46">
        <f t="shared" si="23"/>
        <v>-318294</v>
      </c>
      <c r="CB340" s="46">
        <f t="shared" si="23"/>
        <v>-150619</v>
      </c>
      <c r="CC340" s="46">
        <f t="shared" si="23"/>
        <v>-4096</v>
      </c>
      <c r="CD340" s="46">
        <f t="shared" si="23"/>
        <v>-287047</v>
      </c>
      <c r="CE340" s="46">
        <f t="shared" si="23"/>
        <v>-295618</v>
      </c>
      <c r="CF340" s="46">
        <f t="shared" si="23"/>
        <v>-167447</v>
      </c>
      <c r="CG340" s="46">
        <f t="shared" si="23"/>
        <v>493068</v>
      </c>
      <c r="CH340" s="46">
        <f t="shared" si="23"/>
        <v>-325315</v>
      </c>
      <c r="CI340" s="46">
        <f t="shared" si="23"/>
        <v>-648048</v>
      </c>
      <c r="CJ340" s="46">
        <f t="shared" si="23"/>
        <v>-601028</v>
      </c>
      <c r="CK340" s="46">
        <f t="shared" si="23"/>
        <v>785405</v>
      </c>
      <c r="CL340" s="46">
        <f t="shared" si="23"/>
        <v>-1216053</v>
      </c>
      <c r="CM340" s="46">
        <f t="shared" si="23"/>
        <v>-647878</v>
      </c>
      <c r="CN340" s="46">
        <f t="shared" si="23"/>
        <v>-1220217</v>
      </c>
      <c r="CO340" s="46">
        <f t="shared" si="23"/>
        <v>425551</v>
      </c>
      <c r="CP340" s="46">
        <f t="shared" si="23"/>
        <v>-526859</v>
      </c>
      <c r="CQ340" s="46">
        <f t="shared" si="23"/>
        <v>-650994</v>
      </c>
      <c r="CR340" s="46">
        <f t="shared" si="23"/>
        <v>-2031542</v>
      </c>
    </row>
    <row r="341" spans="66:96" ht="19" customHeight="1" x14ac:dyDescent="0.35">
      <c r="BN341" s="1" t="str">
        <f>_xlfn.CONCAT($BR$325,"|",$BR$340,"|",BR341)</f>
        <v>CEMIG GT|DESPESAS FINANCEIRAS|Encargos de empréstimos e debêntures</v>
      </c>
      <c r="BP341" s="392"/>
      <c r="BQ341" s="126" t="s">
        <v>154</v>
      </c>
      <c r="BR341" s="6" t="s">
        <v>212</v>
      </c>
      <c r="BS341" s="50">
        <v>-87847</v>
      </c>
      <c r="BT341" s="50">
        <v>-73478</v>
      </c>
      <c r="BU341" s="50">
        <v>-71552</v>
      </c>
      <c r="BV341" s="50">
        <v>-61655</v>
      </c>
      <c r="BW341" s="50">
        <v>-54435</v>
      </c>
      <c r="BX341" s="50">
        <v>-32480</v>
      </c>
      <c r="BY341" s="50">
        <v>-81772</v>
      </c>
      <c r="BZ341" s="50">
        <v>-83966</v>
      </c>
      <c r="CA341" s="50">
        <v>-85538</v>
      </c>
      <c r="CB341" s="50">
        <v>-81321</v>
      </c>
      <c r="CC341" s="50">
        <v>-122388</v>
      </c>
      <c r="CD341" s="50">
        <v>-136253</v>
      </c>
      <c r="CE341" s="50">
        <v>-132978</v>
      </c>
      <c r="CF341" s="50">
        <v>-137619</v>
      </c>
      <c r="CG341" s="50">
        <v>-136356</v>
      </c>
      <c r="CH341" s="50">
        <v>-149379</v>
      </c>
      <c r="CI341" s="50">
        <v>-135491</v>
      </c>
      <c r="CJ341" s="50">
        <v>-126960</v>
      </c>
      <c r="CK341" s="50">
        <v>-166400</v>
      </c>
      <c r="CL341" s="50">
        <v>-191332</v>
      </c>
      <c r="CM341" s="50">
        <v>-194439</v>
      </c>
      <c r="CN341" s="50">
        <v>-251764</v>
      </c>
      <c r="CO341" s="50">
        <v>-203319</v>
      </c>
      <c r="CP341" s="50">
        <v>-249163</v>
      </c>
      <c r="CQ341" s="50">
        <v>-224291</v>
      </c>
      <c r="CR341" s="50">
        <v>-249410</v>
      </c>
    </row>
    <row r="342" spans="66:96" ht="19" customHeight="1" x14ac:dyDescent="0.35">
      <c r="BN342" s="1" t="str">
        <f t="shared" ref="BN342:BN352" si="24">_xlfn.CONCAT($BR$325,"|",$BR$340,"|",BR342)</f>
        <v>CEMIG GT|DESPESAS FINANCEIRAS|Amortização dos custos de transação</v>
      </c>
      <c r="BP342" s="392"/>
      <c r="BQ342" s="126" t="s">
        <v>154</v>
      </c>
      <c r="BR342" s="6" t="s">
        <v>213</v>
      </c>
      <c r="BS342" s="50">
        <v>-1501</v>
      </c>
      <c r="BT342" s="50">
        <v>-1435</v>
      </c>
      <c r="BU342" s="50">
        <v>-1125</v>
      </c>
      <c r="BV342" s="50">
        <v>-450</v>
      </c>
      <c r="BW342" s="50">
        <v>-445</v>
      </c>
      <c r="BX342" s="50">
        <v>-308</v>
      </c>
      <c r="BY342" s="50">
        <v>-521</v>
      </c>
      <c r="BZ342" s="50">
        <v>-552</v>
      </c>
      <c r="CA342" s="50">
        <v>-549</v>
      </c>
      <c r="CB342" s="50">
        <v>-548</v>
      </c>
      <c r="CC342" s="50">
        <v>-1789</v>
      </c>
      <c r="CD342" s="50">
        <v>-993</v>
      </c>
      <c r="CE342" s="50">
        <v>-956</v>
      </c>
      <c r="CF342" s="50">
        <v>-2107</v>
      </c>
      <c r="CG342" s="50">
        <v>-671</v>
      </c>
      <c r="CH342" s="50">
        <v>-634</v>
      </c>
      <c r="CI342" s="50">
        <v>-604</v>
      </c>
      <c r="CJ342" s="50">
        <v>-605</v>
      </c>
      <c r="CK342" s="50">
        <v>-581</v>
      </c>
      <c r="CL342" s="50">
        <v>-5258</v>
      </c>
      <c r="CM342" s="50">
        <v>-7469</v>
      </c>
      <c r="CN342" s="50">
        <v>-3051</v>
      </c>
      <c r="CO342" s="50">
        <v>-3060</v>
      </c>
      <c r="CP342" s="50">
        <v>-3053</v>
      </c>
      <c r="CQ342" s="50">
        <v>-2995</v>
      </c>
      <c r="CR342" s="50">
        <v>-2987</v>
      </c>
    </row>
    <row r="343" spans="66:96" ht="19" customHeight="1" x14ac:dyDescent="0.35">
      <c r="BN343" s="1" t="str">
        <f t="shared" si="24"/>
        <v>CEMIG GT|DESPESAS FINANCEIRAS|Variação monetária – Forluz</v>
      </c>
      <c r="BQ343" s="126" t="s">
        <v>154</v>
      </c>
      <c r="BR343" s="6" t="s">
        <v>214</v>
      </c>
      <c r="BS343" s="50">
        <v>0</v>
      </c>
      <c r="BT343" s="50">
        <v>0</v>
      </c>
      <c r="BU343" s="50">
        <v>0</v>
      </c>
      <c r="BV343" s="50">
        <v>0</v>
      </c>
      <c r="BW343" s="50">
        <v>0</v>
      </c>
      <c r="BX343" s="50">
        <v>0</v>
      </c>
      <c r="BY343" s="50">
        <v>0</v>
      </c>
      <c r="BZ343" s="50">
        <v>0</v>
      </c>
      <c r="CA343" s="50">
        <v>-162</v>
      </c>
      <c r="CB343" s="50">
        <v>-553</v>
      </c>
      <c r="CC343" s="50">
        <v>-604</v>
      </c>
      <c r="CD343" s="50">
        <v>-624</v>
      </c>
      <c r="CE343" s="50">
        <v>-1398</v>
      </c>
      <c r="CF343" s="50">
        <v>-1868</v>
      </c>
      <c r="CG343" s="50">
        <v>-1336</v>
      </c>
      <c r="CH343" s="50">
        <v>-809</v>
      </c>
      <c r="CI343" s="50">
        <v>-3674</v>
      </c>
      <c r="CJ343" s="50">
        <v>-3177</v>
      </c>
      <c r="CK343" s="50">
        <v>-4374</v>
      </c>
      <c r="CL343" s="50">
        <v>-3649</v>
      </c>
      <c r="CM343" s="50">
        <v>-3570</v>
      </c>
      <c r="CN343" s="50">
        <v>-4158</v>
      </c>
      <c r="CO343" s="50">
        <v>-4231</v>
      </c>
      <c r="CP343" s="50">
        <v>-2767</v>
      </c>
      <c r="CQ343" s="50">
        <v>-999</v>
      </c>
      <c r="CR343" s="50">
        <v>-3923</v>
      </c>
    </row>
    <row r="344" spans="66:96" ht="19" customHeight="1" x14ac:dyDescent="0.35">
      <c r="BN344" s="1" t="str">
        <f t="shared" si="24"/>
        <v>CEMIG GT|DESPESAS FINANCEIRAS|Variação monetária – Empréstimos e debêntures</v>
      </c>
      <c r="BP344" s="392"/>
      <c r="BQ344" s="126" t="s">
        <v>154</v>
      </c>
      <c r="BR344" s="6" t="s">
        <v>215</v>
      </c>
      <c r="BS344" s="50">
        <v>-40147</v>
      </c>
      <c r="BT344" s="50">
        <v>-17832</v>
      </c>
      <c r="BU344" s="50">
        <v>-10419</v>
      </c>
      <c r="BV344" s="50">
        <v>-2536</v>
      </c>
      <c r="BW344" s="50">
        <v>-3086</v>
      </c>
      <c r="BX344" s="50">
        <v>-6489</v>
      </c>
      <c r="BY344" s="50">
        <v>-5115</v>
      </c>
      <c r="BZ344" s="50">
        <v>-2431</v>
      </c>
      <c r="CA344" s="50">
        <v>-3567</v>
      </c>
      <c r="CB344" s="50">
        <v>-5066</v>
      </c>
      <c r="CC344" s="50">
        <v>-2601</v>
      </c>
      <c r="CD344" s="50">
        <v>-2487</v>
      </c>
      <c r="CE344" s="50">
        <v>-2003</v>
      </c>
      <c r="CF344" s="50">
        <v>-6522</v>
      </c>
      <c r="CG344" s="50">
        <v>-1509</v>
      </c>
      <c r="CH344" s="50">
        <v>0</v>
      </c>
      <c r="CI344" s="50">
        <v>0</v>
      </c>
      <c r="CJ344" s="50">
        <v>-3060</v>
      </c>
      <c r="CK344" s="50">
        <v>-13599</v>
      </c>
      <c r="CL344" s="50">
        <v>-9748</v>
      </c>
      <c r="CM344" s="50">
        <v>-7818</v>
      </c>
      <c r="CN344" s="50">
        <v>-13592</v>
      </c>
      <c r="CO344" s="50">
        <v>-16321</v>
      </c>
      <c r="CP344" s="50">
        <v>-9998</v>
      </c>
      <c r="CQ344" s="50" t="s">
        <v>216</v>
      </c>
      <c r="CR344" s="50">
        <v>-17018</v>
      </c>
    </row>
    <row r="345" spans="66:96" ht="19" customHeight="1" x14ac:dyDescent="0.35">
      <c r="BN345" s="1" t="str">
        <f t="shared" si="24"/>
        <v>CEMIG GT|DESPESAS FINANCEIRAS|Variações monetárias</v>
      </c>
      <c r="BP345" s="392"/>
      <c r="BQ345" s="126" t="s">
        <v>154</v>
      </c>
      <c r="BR345" s="6" t="s">
        <v>194</v>
      </c>
      <c r="BS345" s="50">
        <v>-3977</v>
      </c>
      <c r="BT345" s="50">
        <v>-2247</v>
      </c>
      <c r="BU345" s="50">
        <v>-2057</v>
      </c>
      <c r="BV345" s="50">
        <v>-1906</v>
      </c>
      <c r="BW345" s="50">
        <v>-1965</v>
      </c>
      <c r="BX345" s="50">
        <v>-3131</v>
      </c>
      <c r="BY345" s="50">
        <v>-3796</v>
      </c>
      <c r="BZ345" s="50">
        <v>-3408</v>
      </c>
      <c r="CA345" s="50">
        <v>-3333</v>
      </c>
      <c r="CB345" s="50">
        <v>-1999</v>
      </c>
      <c r="CC345" s="50">
        <v>-584</v>
      </c>
      <c r="CD345" s="50">
        <v>-1440</v>
      </c>
      <c r="CE345" s="50">
        <v>-2600</v>
      </c>
      <c r="CF345" s="50">
        <v>1132</v>
      </c>
      <c r="CG345" s="50">
        <v>-3020</v>
      </c>
      <c r="CH345" s="50">
        <v>-3359</v>
      </c>
      <c r="CI345" s="50">
        <v>-6424</v>
      </c>
      <c r="CJ345" s="50">
        <v>-5985</v>
      </c>
      <c r="CK345" s="50">
        <v>-2166</v>
      </c>
      <c r="CL345" s="50">
        <v>-1386</v>
      </c>
      <c r="CM345" s="50">
        <v>-6442</v>
      </c>
      <c r="CN345" s="50">
        <v>-8137</v>
      </c>
      <c r="CO345" s="50">
        <v>-11981</v>
      </c>
      <c r="CP345" s="50">
        <v>-13052</v>
      </c>
      <c r="CQ345" s="50">
        <v>-2212</v>
      </c>
      <c r="CR345" s="50">
        <v>-2373</v>
      </c>
    </row>
    <row r="346" spans="66:96" ht="19" customHeight="1" x14ac:dyDescent="0.35">
      <c r="BN346" s="1" t="str">
        <f t="shared" si="24"/>
        <v>CEMIG GT|DESPESAS FINANCEIRAS|Atualização financeira de provisões</v>
      </c>
      <c r="BP346" s="392"/>
      <c r="BQ346" s="126"/>
      <c r="BR346" s="6" t="s">
        <v>831</v>
      </c>
      <c r="BS346" s="50">
        <v>-42053</v>
      </c>
      <c r="BT346" s="50">
        <v>0</v>
      </c>
      <c r="BU346" s="50">
        <v>0</v>
      </c>
      <c r="BV346" s="50">
        <v>0</v>
      </c>
      <c r="BW346" s="50">
        <v>-10788</v>
      </c>
      <c r="BX346" s="50">
        <v>0</v>
      </c>
      <c r="BY346" s="50">
        <v>0</v>
      </c>
      <c r="BZ346" s="50">
        <v>0</v>
      </c>
      <c r="CA346" s="50">
        <v>0</v>
      </c>
      <c r="CB346" s="50">
        <v>0</v>
      </c>
      <c r="CC346" s="50">
        <v>0</v>
      </c>
      <c r="CD346" s="50">
        <v>0</v>
      </c>
      <c r="CE346" s="50">
        <v>0</v>
      </c>
      <c r="CF346" s="50">
        <v>0</v>
      </c>
      <c r="CG346" s="50">
        <v>0</v>
      </c>
      <c r="CH346" s="50">
        <v>0</v>
      </c>
      <c r="CI346" s="50">
        <v>0</v>
      </c>
      <c r="CJ346" s="50">
        <v>0</v>
      </c>
      <c r="CK346" s="50">
        <v>0</v>
      </c>
      <c r="CL346" s="50">
        <v>0</v>
      </c>
      <c r="CM346" s="50">
        <v>0</v>
      </c>
      <c r="CN346" s="50">
        <v>0</v>
      </c>
      <c r="CO346" s="50">
        <v>0</v>
      </c>
      <c r="CP346" s="50">
        <v>0</v>
      </c>
      <c r="CQ346" s="50">
        <v>0</v>
      </c>
      <c r="CR346" s="50">
        <v>0</v>
      </c>
    </row>
    <row r="347" spans="66:96" ht="19" customHeight="1" x14ac:dyDescent="0.35">
      <c r="BN347" s="1" t="str">
        <f t="shared" si="24"/>
        <v>CEMIG GT|DESPESAS FINANCEIRAS|Ágio na recompra de títulos de dívida (Eurobonds)</v>
      </c>
      <c r="BQ347" s="126" t="s">
        <v>154</v>
      </c>
      <c r="BR347" s="6" t="s">
        <v>180</v>
      </c>
      <c r="BS347" s="50">
        <v>0</v>
      </c>
      <c r="BT347" s="50">
        <v>0</v>
      </c>
      <c r="BU347" s="50">
        <v>0</v>
      </c>
      <c r="BV347" s="50">
        <v>0</v>
      </c>
      <c r="BW347" s="50">
        <v>0</v>
      </c>
      <c r="BX347" s="50">
        <v>0</v>
      </c>
      <c r="BY347" s="50">
        <v>0</v>
      </c>
      <c r="BZ347" s="50">
        <v>0</v>
      </c>
      <c r="CA347" s="50">
        <v>0</v>
      </c>
      <c r="CB347" s="50">
        <v>0</v>
      </c>
      <c r="CC347" s="50">
        <v>0</v>
      </c>
      <c r="CD347" s="50">
        <v>0</v>
      </c>
      <c r="CE347" s="50">
        <v>0</v>
      </c>
      <c r="CF347" s="50">
        <v>0</v>
      </c>
      <c r="CG347" s="50">
        <v>-46763</v>
      </c>
      <c r="CH347" s="50">
        <v>0</v>
      </c>
      <c r="CI347" s="50">
        <v>0</v>
      </c>
      <c r="CJ347" s="50">
        <v>0</v>
      </c>
      <c r="CK347" s="50">
        <v>-1</v>
      </c>
      <c r="CL347" s="50">
        <v>-491036</v>
      </c>
      <c r="CM347" s="50">
        <v>0</v>
      </c>
      <c r="CN347" s="50">
        <v>0</v>
      </c>
      <c r="CO347" s="50">
        <v>0</v>
      </c>
      <c r="CP347" s="50">
        <v>0</v>
      </c>
      <c r="CQ347" s="50">
        <v>0</v>
      </c>
      <c r="CR347" s="50">
        <v>0</v>
      </c>
    </row>
    <row r="348" spans="66:96" ht="19" customHeight="1" x14ac:dyDescent="0.35">
      <c r="BN348" s="1" t="str">
        <f t="shared" si="24"/>
        <v>CEMIG GT|DESPESAS FINANCEIRAS|Variações cambiais de empréstimos</v>
      </c>
      <c r="BQ348" s="126" t="s">
        <v>154</v>
      </c>
      <c r="BR348" s="6" t="s">
        <v>209</v>
      </c>
      <c r="BS348" s="50">
        <v>0</v>
      </c>
      <c r="BT348" s="50">
        <v>0</v>
      </c>
      <c r="BU348" s="50">
        <v>0</v>
      </c>
      <c r="BV348" s="50">
        <v>0</v>
      </c>
      <c r="BW348" s="50">
        <v>0</v>
      </c>
      <c r="BX348" s="50">
        <v>0</v>
      </c>
      <c r="BY348" s="50">
        <v>-190402</v>
      </c>
      <c r="BZ348" s="50">
        <v>0</v>
      </c>
      <c r="CA348" s="50">
        <v>-214451</v>
      </c>
      <c r="CB348" s="50">
        <v>-59034</v>
      </c>
      <c r="CC348" s="50">
        <v>142451</v>
      </c>
      <c r="CD348" s="50">
        <v>-142451</v>
      </c>
      <c r="CE348" s="50">
        <v>0</v>
      </c>
      <c r="CF348" s="50">
        <v>0</v>
      </c>
      <c r="CG348" s="50">
        <v>500200</v>
      </c>
      <c r="CH348" s="50">
        <v>0</v>
      </c>
      <c r="CI348" s="50">
        <v>-500200</v>
      </c>
      <c r="CJ348" s="50">
        <v>0</v>
      </c>
      <c r="CK348" s="50">
        <v>901550</v>
      </c>
      <c r="CL348" s="50">
        <v>-504600</v>
      </c>
      <c r="CM348" s="50">
        <v>0</v>
      </c>
      <c r="CN348" s="50">
        <v>-750900</v>
      </c>
      <c r="CO348" s="50">
        <v>666000</v>
      </c>
      <c r="CP348" s="50">
        <v>-247050</v>
      </c>
      <c r="CQ348" s="50">
        <v>-415950</v>
      </c>
      <c r="CR348" s="50">
        <v>-1752000</v>
      </c>
    </row>
    <row r="349" spans="66:96" ht="19" customHeight="1" x14ac:dyDescent="0.35">
      <c r="BN349" s="1" t="str">
        <f t="shared" si="24"/>
        <v>CEMIG GT|DESPESAS FINANCEIRAS|Variação cambial de empréstimos, líquida de derivativos</v>
      </c>
      <c r="BQ349" s="126" t="s">
        <v>154</v>
      </c>
      <c r="BR349" s="6" t="s">
        <v>217</v>
      </c>
      <c r="BS349" s="50">
        <v>0</v>
      </c>
      <c r="BT349" s="50">
        <v>0</v>
      </c>
      <c r="BU349" s="50">
        <v>-10564</v>
      </c>
      <c r="BV349" s="50">
        <v>0</v>
      </c>
      <c r="BW349" s="50">
        <v>0</v>
      </c>
      <c r="BX349" s="50">
        <v>0</v>
      </c>
      <c r="BY349" s="50">
        <v>0</v>
      </c>
      <c r="BZ349" s="50">
        <v>0</v>
      </c>
      <c r="CA349" s="50">
        <v>0</v>
      </c>
      <c r="CB349" s="50">
        <v>0</v>
      </c>
      <c r="CC349" s="50">
        <v>0</v>
      </c>
      <c r="CD349" s="50">
        <v>0</v>
      </c>
      <c r="CE349" s="50">
        <v>0</v>
      </c>
      <c r="CF349" s="50">
        <v>0</v>
      </c>
      <c r="CG349" s="50">
        <v>0</v>
      </c>
      <c r="CH349" s="50">
        <v>0</v>
      </c>
      <c r="CI349" s="50">
        <v>0</v>
      </c>
      <c r="CJ349" s="50">
        <v>0</v>
      </c>
      <c r="CK349" s="50">
        <v>0</v>
      </c>
      <c r="CL349" s="50">
        <v>0</v>
      </c>
      <c r="CM349" s="50">
        <v>0</v>
      </c>
      <c r="CN349" s="50">
        <v>0</v>
      </c>
      <c r="CO349" s="50">
        <v>0</v>
      </c>
      <c r="CP349" s="50">
        <v>0</v>
      </c>
      <c r="CQ349" s="50">
        <v>0</v>
      </c>
      <c r="CR349" s="50">
        <v>0</v>
      </c>
    </row>
    <row r="350" spans="66:96" ht="19" customHeight="1" x14ac:dyDescent="0.35">
      <c r="BN350" s="1" t="str">
        <f t="shared" si="24"/>
        <v>CEMIG GT|DESPESAS FINANCEIRAS|Perdas com instrumentos financeiros derivativos swap</v>
      </c>
      <c r="BP350" s="392"/>
      <c r="BQ350" s="126" t="s">
        <v>154</v>
      </c>
      <c r="BR350" s="6" t="s">
        <v>218</v>
      </c>
      <c r="BS350" s="50">
        <v>-3559</v>
      </c>
      <c r="BT350" s="50">
        <v>0</v>
      </c>
      <c r="BU350" s="50">
        <v>3234</v>
      </c>
      <c r="BV350" s="50">
        <v>-3234</v>
      </c>
      <c r="BW350" s="50">
        <v>0</v>
      </c>
      <c r="BX350" s="50">
        <v>0</v>
      </c>
      <c r="BY350" s="50">
        <v>0</v>
      </c>
      <c r="BZ350" s="50">
        <v>0</v>
      </c>
      <c r="CA350" s="50">
        <v>0</v>
      </c>
      <c r="CB350" s="50">
        <v>0</v>
      </c>
      <c r="CC350" s="50">
        <v>-14591</v>
      </c>
      <c r="CD350" s="50">
        <v>0</v>
      </c>
      <c r="CE350" s="50">
        <v>-150010</v>
      </c>
      <c r="CF350" s="50">
        <v>-12725</v>
      </c>
      <c r="CG350" s="50">
        <v>187360</v>
      </c>
      <c r="CH350" s="50">
        <v>-168600</v>
      </c>
      <c r="CI350" s="50">
        <v>0</v>
      </c>
      <c r="CJ350" s="50">
        <v>-456647</v>
      </c>
      <c r="CK350" s="50">
        <v>74789</v>
      </c>
      <c r="CL350" s="50">
        <v>0</v>
      </c>
      <c r="CM350" s="50">
        <v>-425417</v>
      </c>
      <c r="CN350" s="50">
        <v>-187348</v>
      </c>
      <c r="CO350" s="50">
        <v>0</v>
      </c>
      <c r="CP350" s="50">
        <v>0</v>
      </c>
      <c r="CQ350" s="50">
        <v>0</v>
      </c>
      <c r="CR350" s="50">
        <v>0</v>
      </c>
    </row>
    <row r="351" spans="66:96" ht="19" customHeight="1" x14ac:dyDescent="0.35">
      <c r="BN351" s="1" t="str">
        <f t="shared" si="24"/>
        <v>CEMIG GT|DESPESAS FINANCEIRAS|Variação monetária de arrendamento</v>
      </c>
      <c r="BP351" s="392"/>
      <c r="BQ351" s="126" t="s">
        <v>154</v>
      </c>
      <c r="BR351" s="6" t="s">
        <v>187</v>
      </c>
      <c r="BS351" s="50">
        <v>-1306</v>
      </c>
      <c r="BT351" s="50">
        <v>-1841</v>
      </c>
      <c r="BU351" s="50">
        <v>-1431</v>
      </c>
      <c r="BV351" s="50">
        <v>-1263</v>
      </c>
      <c r="BW351" s="50">
        <v>-1267</v>
      </c>
      <c r="BX351" s="50">
        <v>-1302</v>
      </c>
      <c r="BY351" s="50">
        <v>-1187</v>
      </c>
      <c r="BZ351" s="50">
        <v>-1145</v>
      </c>
      <c r="CA351" s="50">
        <v>-1187</v>
      </c>
      <c r="CB351" s="50">
        <v>-1872</v>
      </c>
      <c r="CC351" s="50">
        <v>-1904</v>
      </c>
      <c r="CD351" s="50">
        <v>-1886</v>
      </c>
      <c r="CE351" s="50">
        <v>-1734</v>
      </c>
      <c r="CF351" s="50">
        <v>-1588</v>
      </c>
      <c r="CG351" s="50">
        <v>-1530</v>
      </c>
      <c r="CH351" s="50">
        <v>-1253</v>
      </c>
      <c r="CI351" s="50">
        <v>-1218</v>
      </c>
      <c r="CJ351" s="50">
        <v>-1245</v>
      </c>
      <c r="CK351" s="50">
        <v>-1240</v>
      </c>
      <c r="CL351" s="50">
        <v>-1182</v>
      </c>
      <c r="CM351" s="50">
        <v>-1167</v>
      </c>
      <c r="CN351" s="50">
        <v>-1267</v>
      </c>
      <c r="CO351" s="50">
        <v>-1312</v>
      </c>
      <c r="CP351" s="50">
        <v>-1353</v>
      </c>
      <c r="CQ351" s="50">
        <v>-1313</v>
      </c>
      <c r="CR351" s="50">
        <v>-1364</v>
      </c>
    </row>
    <row r="352" spans="66:96" ht="19" customHeight="1" x14ac:dyDescent="0.35">
      <c r="BN352" s="1" t="str">
        <f t="shared" si="24"/>
        <v>CEMIG GT|DESPESAS FINANCEIRAS|Outras</v>
      </c>
      <c r="BP352" s="392"/>
      <c r="BQ352" s="126" t="s">
        <v>154</v>
      </c>
      <c r="BR352" s="6" t="s">
        <v>199</v>
      </c>
      <c r="BS352" s="50">
        <v>-4811</v>
      </c>
      <c r="BT352" s="50">
        <v>-2474</v>
      </c>
      <c r="BU352" s="50">
        <v>-3245</v>
      </c>
      <c r="BV352" s="50">
        <v>-1625</v>
      </c>
      <c r="BW352" s="50">
        <v>-811</v>
      </c>
      <c r="BX352" s="50">
        <v>-3465</v>
      </c>
      <c r="BY352" s="50">
        <v>-1494</v>
      </c>
      <c r="BZ352" s="50">
        <v>-1884</v>
      </c>
      <c r="CA352" s="50">
        <v>-9507</v>
      </c>
      <c r="CB352" s="50">
        <v>-226</v>
      </c>
      <c r="CC352" s="50">
        <v>-2086</v>
      </c>
      <c r="CD352" s="50">
        <v>-913</v>
      </c>
      <c r="CE352" s="50">
        <v>-3939</v>
      </c>
      <c r="CF352" s="50">
        <v>-6150</v>
      </c>
      <c r="CG352" s="50">
        <v>-3307</v>
      </c>
      <c r="CH352" s="50">
        <v>-1281</v>
      </c>
      <c r="CI352" s="50">
        <v>-437</v>
      </c>
      <c r="CJ352" s="50">
        <v>-3349</v>
      </c>
      <c r="CK352" s="50">
        <v>-2573</v>
      </c>
      <c r="CL352" s="50">
        <v>-7862</v>
      </c>
      <c r="CM352" s="50">
        <v>-1556</v>
      </c>
      <c r="CN352" s="50">
        <v>0</v>
      </c>
      <c r="CO352" s="50">
        <v>-225</v>
      </c>
      <c r="CP352" s="50">
        <v>-423</v>
      </c>
      <c r="CQ352" s="50">
        <v>-3234</v>
      </c>
      <c r="CR352" s="50">
        <v>-2467</v>
      </c>
    </row>
    <row r="353" spans="69:96" ht="28" customHeight="1" x14ac:dyDescent="0.35">
      <c r="BQ353" s="126" t="s">
        <v>154</v>
      </c>
      <c r="BR353" s="39" t="s">
        <v>158</v>
      </c>
      <c r="BS353" s="58">
        <f t="shared" ref="BS353:CR353" si="25">SUM(BS328,BS340)</f>
        <v>-119860</v>
      </c>
      <c r="BT353" s="58">
        <f t="shared" si="25"/>
        <v>-51522</v>
      </c>
      <c r="BU353" s="58">
        <f t="shared" si="25"/>
        <v>-33825</v>
      </c>
      <c r="BV353" s="58">
        <f t="shared" si="25"/>
        <v>-27282</v>
      </c>
      <c r="BW353" s="58">
        <f t="shared" si="25"/>
        <v>-8834</v>
      </c>
      <c r="BX353" s="58">
        <f t="shared" si="25"/>
        <v>-15554</v>
      </c>
      <c r="BY353" s="58">
        <f t="shared" si="25"/>
        <v>-221649</v>
      </c>
      <c r="BZ353" s="58">
        <f t="shared" si="25"/>
        <v>36376</v>
      </c>
      <c r="CA353" s="58">
        <f t="shared" si="25"/>
        <v>-190360</v>
      </c>
      <c r="CB353" s="58">
        <f t="shared" si="25"/>
        <v>-68752</v>
      </c>
      <c r="CC353" s="58">
        <f t="shared" si="25"/>
        <v>-9151</v>
      </c>
      <c r="CD353" s="58">
        <f t="shared" si="25"/>
        <v>-107267</v>
      </c>
      <c r="CE353" s="58">
        <f t="shared" si="25"/>
        <v>14769</v>
      </c>
      <c r="CF353" s="58">
        <f t="shared" si="25"/>
        <v>5812</v>
      </c>
      <c r="CG353" s="58">
        <f t="shared" si="25"/>
        <v>-92341</v>
      </c>
      <c r="CH353" s="58">
        <f t="shared" si="25"/>
        <v>-147075</v>
      </c>
      <c r="CI353" s="58">
        <f t="shared" si="25"/>
        <v>-534756</v>
      </c>
      <c r="CJ353" s="58">
        <f t="shared" si="25"/>
        <v>296881</v>
      </c>
      <c r="CK353" s="58">
        <f t="shared" si="25"/>
        <v>-249358</v>
      </c>
      <c r="CL353" s="58">
        <f t="shared" si="25"/>
        <v>-1142300</v>
      </c>
      <c r="CM353" s="58">
        <f t="shared" si="25"/>
        <v>428195</v>
      </c>
      <c r="CN353" s="58">
        <f t="shared" si="25"/>
        <v>-1197247</v>
      </c>
      <c r="CO353" s="58">
        <f t="shared" si="25"/>
        <v>425025</v>
      </c>
      <c r="CP353" s="58">
        <f t="shared" si="25"/>
        <v>-495479</v>
      </c>
      <c r="CQ353" s="58">
        <f t="shared" si="25"/>
        <v>-133702</v>
      </c>
      <c r="CR353" s="58">
        <f t="shared" si="25"/>
        <v>-689673</v>
      </c>
    </row>
    <row r="1005" spans="2:5" ht="45" customHeight="1" x14ac:dyDescent="0.35">
      <c r="B1005" s="478" t="s">
        <v>10</v>
      </c>
      <c r="C1005" s="478"/>
      <c r="D1005" s="478"/>
      <c r="E1005" s="478"/>
    </row>
    <row r="1006" spans="2:5" ht="10" customHeight="1" x14ac:dyDescent="0.35">
      <c r="B1006" s="29"/>
      <c r="C1006" s="29"/>
      <c r="D1006" s="134"/>
      <c r="E1006" s="29"/>
    </row>
    <row r="1007" spans="2:5" ht="40" customHeight="1" x14ac:dyDescent="0.35">
      <c r="B1007" s="479" t="s">
        <v>98</v>
      </c>
      <c r="C1007" s="479"/>
      <c r="D1007" s="482" t="s">
        <v>26</v>
      </c>
      <c r="E1007" s="482"/>
    </row>
    <row r="1008" spans="2:5" ht="15" customHeight="1" x14ac:dyDescent="0.35">
      <c r="B1008" s="84"/>
      <c r="E1008" s="15" t="s">
        <v>25</v>
      </c>
    </row>
    <row r="1009" spans="2:5" ht="35.15" customHeight="1" x14ac:dyDescent="0.35">
      <c r="B1009" s="168" t="s">
        <v>10</v>
      </c>
      <c r="C1009" s="167" t="str">
        <f>IFERROR($D$1007,"")</f>
        <v>2T | 2026</v>
      </c>
      <c r="D1009" s="164" t="str">
        <f xml:space="preserve">
IFERROR(
_xlfn.CONCAT(
MID($D$1007,1,2),
" | ",
MID($D$1007,6,4)-1
),0)</f>
        <v>2T | 2025</v>
      </c>
      <c r="E1009" s="164" t="s">
        <v>5</v>
      </c>
    </row>
    <row r="1010" spans="2:5" ht="25" customHeight="1" x14ac:dyDescent="0.35">
      <c r="B1010" s="141" t="s">
        <v>160</v>
      </c>
      <c r="C1010" s="46">
        <f>IFERROR(SUM(C1011:C1022),0)</f>
        <v>251142</v>
      </c>
      <c r="D1010" s="52">
        <f>IFERROR(SUM(D1011:D1022),0)</f>
        <v>232834</v>
      </c>
      <c r="E1010" s="73">
        <f t="shared" ref="E1010:E1040" si="26">IFERROR(((C1010/D1010)-1)*100,0)</f>
        <v>7.863112775625547</v>
      </c>
    </row>
    <row r="1011" spans="2:5" ht="19" customHeight="1" x14ac:dyDescent="0.35">
      <c r="B1011" s="142" t="str">
        <f t="shared" ref="B1011:B1022" si="27">BR293</f>
        <v>Renda de aplicação financeira</v>
      </c>
      <c r="C1011" s="76">
        <f t="shared" ref="C1011:C1022" si="28" xml:space="preserve">
IFERROR(
INDEX($BR$252:$ED$500,
MATCH(
_xlfn.CONCAT($B$1007,"|",$B$1010,"|",$B1011),
$BN$252:$BN$500,0),
MATCH($C$1009,$BR$251:$ED$251,0)),
0)</f>
        <v>72727</v>
      </c>
      <c r="D1011" s="32">
        <f t="shared" ref="D1011:D1022" si="29" xml:space="preserve">
IFERROR(
INDEX($BR$252:$ED$500,
MATCH(
_xlfn.CONCAT($B$1007,"|",$B$1010,"|",$B1011),
$BN$252:$BN$500,0),
MATCH($D$1009,$BR$251:$ED$251,0)),
0)</f>
        <v>116990</v>
      </c>
      <c r="E1011" s="71">
        <f t="shared" si="26"/>
        <v>-37.8348576801436</v>
      </c>
    </row>
    <row r="1012" spans="2:5" ht="19" customHeight="1" x14ac:dyDescent="0.35">
      <c r="B1012" s="142" t="str">
        <f t="shared" si="27"/>
        <v>PIS/Pasep e Cofins incidentes sobre receitas financeiras</v>
      </c>
      <c r="C1012" s="76">
        <f t="shared" si="28"/>
        <v>-12027</v>
      </c>
      <c r="D1012" s="32">
        <f t="shared" si="29"/>
        <v>-15059</v>
      </c>
      <c r="E1012" s="71">
        <f t="shared" si="26"/>
        <v>-20.134139053057975</v>
      </c>
    </row>
    <row r="1013" spans="2:5" ht="19" customHeight="1" x14ac:dyDescent="0.35">
      <c r="B1013" s="142" t="str">
        <f t="shared" si="27"/>
        <v>Acréscimos moratórios de contas de energia</v>
      </c>
      <c r="C1013" s="76">
        <f t="shared" si="28"/>
        <v>81296</v>
      </c>
      <c r="D1013" s="32">
        <f t="shared" si="29"/>
        <v>78252</v>
      </c>
      <c r="E1013" s="71">
        <f t="shared" si="26"/>
        <v>3.8899964218166883</v>
      </c>
    </row>
    <row r="1014" spans="2:5" ht="19" customHeight="1" x14ac:dyDescent="0.35">
      <c r="B1014" s="142" t="str">
        <f t="shared" si="27"/>
        <v>Variações cambiais de empréstimos e financiamentos</v>
      </c>
      <c r="C1014" s="76">
        <f t="shared" si="28"/>
        <v>13356</v>
      </c>
      <c r="D1014" s="32">
        <f t="shared" si="29"/>
        <v>0</v>
      </c>
      <c r="E1014" s="71">
        <f t="shared" si="26"/>
        <v>0</v>
      </c>
    </row>
    <row r="1015" spans="2:5" ht="19" customHeight="1" x14ac:dyDescent="0.35">
      <c r="B1015" s="142" t="str">
        <f t="shared" si="27"/>
        <v>Variações cambiais de Itaipu</v>
      </c>
      <c r="C1015" s="76">
        <f t="shared" si="28"/>
        <v>4379</v>
      </c>
      <c r="D1015" s="32">
        <f t="shared" si="29"/>
        <v>2326</v>
      </c>
      <c r="E1015" s="71">
        <f t="shared" si="26"/>
        <v>88.263112639724838</v>
      </c>
    </row>
    <row r="1016" spans="2:5" ht="19" customHeight="1" x14ac:dyDescent="0.35">
      <c r="B1016" s="142" t="str">
        <f t="shared" si="27"/>
        <v>Variações monetárias</v>
      </c>
      <c r="C1016" s="76">
        <f t="shared" si="28"/>
        <v>6904</v>
      </c>
      <c r="D1016" s="32">
        <f t="shared" si="29"/>
        <v>1226</v>
      </c>
      <c r="E1016" s="71">
        <f t="shared" si="26"/>
        <v>463.13213703099512</v>
      </c>
    </row>
    <row r="1017" spans="2:5" ht="19" customHeight="1" x14ac:dyDescent="0.35">
      <c r="B1017" s="142" t="str">
        <f t="shared" si="27"/>
        <v>Variação monetária depósitos judiciais</v>
      </c>
      <c r="C1017" s="76">
        <f t="shared" si="28"/>
        <v>10639</v>
      </c>
      <c r="D1017" s="32">
        <f t="shared" si="29"/>
        <v>12243</v>
      </c>
      <c r="E1017" s="71">
        <f t="shared" si="26"/>
        <v>-13.101364044760267</v>
      </c>
    </row>
    <row r="1018" spans="2:5" ht="19" customHeight="1" x14ac:dyDescent="0.35">
      <c r="B1018" s="142" t="str">
        <f t="shared" si="27"/>
        <v>Variação monetária de empréstimos e debêntures</v>
      </c>
      <c r="C1018" s="76">
        <f t="shared" si="28"/>
        <v>0</v>
      </c>
      <c r="D1018" s="32">
        <f t="shared" si="29"/>
        <v>0</v>
      </c>
      <c r="E1018" s="71">
        <f t="shared" si="26"/>
        <v>0</v>
      </c>
    </row>
    <row r="1019" spans="2:5" ht="19" customHeight="1" x14ac:dyDescent="0.35">
      <c r="B1019" s="142" t="str">
        <f t="shared" si="27"/>
        <v>Variação monetária - CVA</v>
      </c>
      <c r="C1019" s="76">
        <f t="shared" si="28"/>
        <v>40961</v>
      </c>
      <c r="D1019" s="32">
        <f t="shared" si="29"/>
        <v>13346</v>
      </c>
      <c r="E1019" s="71">
        <f t="shared" si="26"/>
        <v>206.91592986662673</v>
      </c>
    </row>
    <row r="1020" spans="2:5" ht="19" customHeight="1" x14ac:dyDescent="0.35">
      <c r="B1020" s="142" t="str">
        <f t="shared" si="27"/>
        <v>Atualização dos créditos de PIS/Pasep e Cofins</v>
      </c>
      <c r="C1020" s="76">
        <f t="shared" si="28"/>
        <v>582</v>
      </c>
      <c r="D1020" s="32">
        <f t="shared" si="29"/>
        <v>40</v>
      </c>
      <c r="E1020" s="71">
        <f t="shared" si="26"/>
        <v>1355</v>
      </c>
    </row>
    <row r="1021" spans="2:5" ht="19" customHeight="1" x14ac:dyDescent="0.35">
      <c r="B1021" s="142" t="str">
        <f t="shared" si="27"/>
        <v>Atualização crédito IRPJ sobre PAT</v>
      </c>
      <c r="C1021" s="76">
        <f t="shared" si="28"/>
        <v>40</v>
      </c>
      <c r="D1021" s="32">
        <f t="shared" si="29"/>
        <v>1490</v>
      </c>
      <c r="E1021" s="71">
        <f t="shared" si="26"/>
        <v>-97.31543624161074</v>
      </c>
    </row>
    <row r="1022" spans="2:5" ht="19" customHeight="1" x14ac:dyDescent="0.35">
      <c r="B1022" s="142" t="str">
        <f t="shared" si="27"/>
        <v>Outras</v>
      </c>
      <c r="C1022" s="76">
        <f t="shared" si="28"/>
        <v>32285</v>
      </c>
      <c r="D1022" s="32">
        <f t="shared" si="29"/>
        <v>21980</v>
      </c>
      <c r="E1022" s="71">
        <f t="shared" si="26"/>
        <v>46.883530482256596</v>
      </c>
    </row>
    <row r="1023" spans="2:5" ht="25" customHeight="1" x14ac:dyDescent="0.35">
      <c r="B1023" s="141" t="s">
        <v>175</v>
      </c>
      <c r="C1023" s="46">
        <f>IFERROR(SUM(C1024:C1039),0)</f>
        <v>-859336</v>
      </c>
      <c r="D1023" s="46">
        <f>IFERROR(SUM(D1024:D1039),0)</f>
        <v>-521477</v>
      </c>
      <c r="E1023" s="73">
        <f t="shared" si="26"/>
        <v>64.788859336078104</v>
      </c>
    </row>
    <row r="1024" spans="2:5" ht="19" customHeight="1" x14ac:dyDescent="0.35">
      <c r="B1024" s="142" t="str">
        <f t="shared" ref="B1024:B1034" si="30">BR306</f>
        <v>Encargos de debêntures</v>
      </c>
      <c r="C1024" s="76">
        <f t="shared" ref="C1024:C1039" si="31" xml:space="preserve">
IFERROR(
INDEX($BR$252:$ED$500,
MATCH(
_xlfn.CONCAT($B$1007,"|",$B$1023,"|",$B1024),
$BN$252:$BN$500,0),
MATCH($C$1009,$BR$251:$ED$251,0)),
0)</f>
        <v>-349764</v>
      </c>
      <c r="D1024" s="32">
        <f t="shared" ref="D1024:D1039" si="32" xml:space="preserve">
IFERROR(
INDEX($BR$252:$ED$500,
MATCH(
_xlfn.CONCAT($B$1007,"|",$B$1023,"|",$B1024),
$BN$252:$BN$500,0),
MATCH($D$1009,$BR$251:$ED$251,0)),
0)</f>
        <v>-315480</v>
      </c>
      <c r="E1024" s="71">
        <f t="shared" si="26"/>
        <v>10.867249904906817</v>
      </c>
    </row>
    <row r="1025" spans="2:5" ht="19" customHeight="1" x14ac:dyDescent="0.35">
      <c r="B1025" s="142" t="str">
        <f t="shared" si="30"/>
        <v>Amortização do custo de transação</v>
      </c>
      <c r="C1025" s="76">
        <f t="shared" si="31"/>
        <v>-7269</v>
      </c>
      <c r="D1025" s="32">
        <f t="shared" si="32"/>
        <v>-5836</v>
      </c>
      <c r="E1025" s="71">
        <f t="shared" si="26"/>
        <v>24.554489376285126</v>
      </c>
    </row>
    <row r="1026" spans="2:5" ht="19" customHeight="1" x14ac:dyDescent="0.35">
      <c r="B1026" s="142" t="str">
        <f t="shared" si="30"/>
        <v>Encargos de variação monetária - Forluz</v>
      </c>
      <c r="C1026" s="76">
        <f t="shared" si="31"/>
        <v>0</v>
      </c>
      <c r="D1026" s="32">
        <f t="shared" si="32"/>
        <v>0</v>
      </c>
      <c r="E1026" s="71">
        <f t="shared" si="26"/>
        <v>0</v>
      </c>
    </row>
    <row r="1027" spans="2:5" ht="19" customHeight="1" x14ac:dyDescent="0.35">
      <c r="B1027" s="142" t="str">
        <f t="shared" si="30"/>
        <v>Variações monetárias</v>
      </c>
      <c r="C1027" s="76">
        <f t="shared" si="31"/>
        <v>0</v>
      </c>
      <c r="D1027" s="32">
        <f t="shared" si="32"/>
        <v>0</v>
      </c>
      <c r="E1027" s="71">
        <f t="shared" si="26"/>
        <v>0</v>
      </c>
    </row>
    <row r="1028" spans="2:5" ht="19" customHeight="1" x14ac:dyDescent="0.35">
      <c r="B1028" s="142" t="str">
        <f t="shared" si="30"/>
        <v>Variações cambiais de empréstimos e financiamentos</v>
      </c>
      <c r="C1028" s="76">
        <f t="shared" si="31"/>
        <v>0</v>
      </c>
      <c r="D1028" s="32">
        <f t="shared" si="32"/>
        <v>0</v>
      </c>
      <c r="E1028" s="71">
        <f t="shared" si="26"/>
        <v>0</v>
      </c>
    </row>
    <row r="1029" spans="2:5" ht="19" customHeight="1" x14ac:dyDescent="0.35">
      <c r="B1029" s="142" t="str">
        <f t="shared" si="30"/>
        <v>Variações cambiais de Itaipu</v>
      </c>
      <c r="C1029" s="76">
        <f t="shared" si="31"/>
        <v>0</v>
      </c>
      <c r="D1029" s="32">
        <f t="shared" si="32"/>
        <v>0</v>
      </c>
      <c r="E1029" s="71">
        <f t="shared" si="26"/>
        <v>0</v>
      </c>
    </row>
    <row r="1030" spans="2:5" ht="19" customHeight="1" x14ac:dyDescent="0.35">
      <c r="B1030" s="142" t="str">
        <f t="shared" si="30"/>
        <v>Variação monetária de debêntures</v>
      </c>
      <c r="C1030" s="76">
        <f t="shared" si="31"/>
        <v>-197001</v>
      </c>
      <c r="D1030" s="32">
        <f t="shared" si="32"/>
        <v>-58676</v>
      </c>
      <c r="E1030" s="71">
        <f t="shared" si="26"/>
        <v>235.7437453132456</v>
      </c>
    </row>
    <row r="1031" spans="2:5" ht="19" customHeight="1" x14ac:dyDescent="0.35">
      <c r="B1031" s="142" t="str">
        <f t="shared" si="30"/>
        <v>Atualização PIS/Pasep e Cofins a restituir</v>
      </c>
      <c r="C1031" s="76">
        <f t="shared" si="31"/>
        <v>-554</v>
      </c>
      <c r="D1031" s="32">
        <f t="shared" si="32"/>
        <v>-1816</v>
      </c>
      <c r="E1031" s="71">
        <f t="shared" si="26"/>
        <v>-69.493392070484589</v>
      </c>
    </row>
    <row r="1032" spans="2:5" ht="19" customHeight="1" x14ac:dyDescent="0.35">
      <c r="B1032" s="142" t="str">
        <f t="shared" si="30"/>
        <v>Variação monetária - CVA</v>
      </c>
      <c r="C1032" s="76">
        <f t="shared" si="31"/>
        <v>0</v>
      </c>
      <c r="D1032" s="32">
        <f t="shared" si="32"/>
        <v>0</v>
      </c>
      <c r="E1032" s="71">
        <f t="shared" si="26"/>
        <v>0</v>
      </c>
    </row>
    <row r="1033" spans="2:5" ht="19" customHeight="1" x14ac:dyDescent="0.35">
      <c r="B1033" s="142" t="str">
        <f t="shared" si="30"/>
        <v>Variação monetária de P&amp;D e PEE</v>
      </c>
      <c r="C1033" s="76">
        <f t="shared" si="31"/>
        <v>-10995</v>
      </c>
      <c r="D1033" s="32">
        <f t="shared" si="32"/>
        <v>-10000</v>
      </c>
      <c r="E1033" s="71">
        <f t="shared" si="26"/>
        <v>9.9499999999999922</v>
      </c>
    </row>
    <row r="1034" spans="2:5" ht="19" customHeight="1" x14ac:dyDescent="0.35">
      <c r="B1034" s="142" t="str">
        <f t="shared" si="30"/>
        <v>Variação monetária de arrendamentos</v>
      </c>
      <c r="C1034" s="76">
        <f t="shared" si="31"/>
        <v>-3921</v>
      </c>
      <c r="D1034" s="32">
        <f t="shared" si="32"/>
        <v>-4375</v>
      </c>
      <c r="E1034" s="71">
        <f t="shared" si="26"/>
        <v>-10.377142857142863</v>
      </c>
    </row>
    <row r="1035" spans="2:5" ht="19" customHeight="1" x14ac:dyDescent="0.35">
      <c r="B1035" s="142" t="str">
        <f t="shared" ref="B1035:B1036" si="33">BR317</f>
        <v>Variação monetária de provisões</v>
      </c>
      <c r="C1035" s="76">
        <f t="shared" si="31"/>
        <v>-69631</v>
      </c>
      <c r="D1035" s="32">
        <f t="shared" si="32"/>
        <v>-31200</v>
      </c>
      <c r="E1035" s="71">
        <f t="shared" ref="E1035:E1036" si="34">IFERROR(((C1035/D1035)-1)*100,0)</f>
        <v>123.17628205128206</v>
      </c>
    </row>
    <row r="1036" spans="2:5" ht="19" customHeight="1" x14ac:dyDescent="0.35">
      <c r="B1036" s="142" t="str">
        <f t="shared" si="33"/>
        <v>Perda com Instrumentos Financeiros Derivativos (Swap)</v>
      </c>
      <c r="C1036" s="76">
        <f t="shared" si="31"/>
        <v>-34915</v>
      </c>
      <c r="D1036" s="32">
        <f t="shared" si="32"/>
        <v>0</v>
      </c>
      <c r="E1036" s="71">
        <f t="shared" si="34"/>
        <v>0</v>
      </c>
    </row>
    <row r="1037" spans="2:5" ht="19" customHeight="1" x14ac:dyDescent="0.35">
      <c r="B1037" s="142" t="str">
        <f>BR319</f>
        <v>Atualização estimada de créditos de GD, líquida</v>
      </c>
      <c r="C1037" s="76">
        <f t="shared" si="31"/>
        <v>-168278</v>
      </c>
      <c r="D1037" s="32">
        <f t="shared" si="32"/>
        <v>-75262</v>
      </c>
      <c r="E1037" s="71">
        <f t="shared" si="26"/>
        <v>123.5895936860567</v>
      </c>
    </row>
    <row r="1038" spans="2:5" ht="19" customHeight="1" x14ac:dyDescent="0.35">
      <c r="B1038" s="142" t="str">
        <f>BR320</f>
        <v>Outras variações monetárias</v>
      </c>
      <c r="C1038" s="76">
        <f t="shared" si="31"/>
        <v>-3982</v>
      </c>
      <c r="D1038" s="32">
        <f t="shared" si="32"/>
        <v>-4911</v>
      </c>
      <c r="E1038" s="71">
        <f t="shared" si="26"/>
        <v>-18.916717572795761</v>
      </c>
    </row>
    <row r="1039" spans="2:5" ht="19" customHeight="1" x14ac:dyDescent="0.35">
      <c r="B1039" s="142" t="str">
        <f>BR321</f>
        <v>Outras</v>
      </c>
      <c r="C1039" s="76">
        <f t="shared" si="31"/>
        <v>-13026</v>
      </c>
      <c r="D1039" s="32">
        <f t="shared" si="32"/>
        <v>-13921</v>
      </c>
      <c r="E1039" s="71">
        <f t="shared" si="26"/>
        <v>-6.4291358379426793</v>
      </c>
    </row>
    <row r="1040" spans="2:5" ht="28" customHeight="1" x14ac:dyDescent="0.35">
      <c r="B1040" s="48" t="s">
        <v>158</v>
      </c>
      <c r="C1040" s="58">
        <f>IFERROR(SUM($C$1010,$C$1023),0)</f>
        <v>-608194</v>
      </c>
      <c r="D1040" s="58">
        <f>IFERROR(SUM($D$1010,$D$1023),0)</f>
        <v>-288643</v>
      </c>
      <c r="E1040" s="199">
        <f t="shared" si="26"/>
        <v>110.70803726402509</v>
      </c>
    </row>
    <row r="2007" spans="2:5" ht="45" customHeight="1" x14ac:dyDescent="0.35">
      <c r="B2007" s="478" t="s">
        <v>10</v>
      </c>
      <c r="C2007" s="478"/>
      <c r="D2007" s="478"/>
      <c r="E2007" s="478"/>
    </row>
    <row r="2009" spans="2:5" ht="39.65" customHeight="1" x14ac:dyDescent="0.35">
      <c r="B2009" s="479" t="s">
        <v>117</v>
      </c>
      <c r="C2009" s="479"/>
      <c r="D2009" s="482" t="s">
        <v>26</v>
      </c>
      <c r="E2009" s="482"/>
    </row>
    <row r="2010" spans="2:5" ht="15" customHeight="1" x14ac:dyDescent="0.35">
      <c r="B2010" s="84"/>
      <c r="E2010" s="15" t="s">
        <v>25</v>
      </c>
    </row>
    <row r="2011" spans="2:5" ht="35.15" customHeight="1" x14ac:dyDescent="0.35">
      <c r="B2011" s="163" t="s">
        <v>10</v>
      </c>
      <c r="C2011" s="167" t="str">
        <f>IFERROR($D$2009,"")</f>
        <v>2T | 2026</v>
      </c>
      <c r="D2011" s="164" t="str">
        <f xml:space="preserve">
IFERROR(
_xlfn.CONCAT(
MID($D$2009,1,2),
" | ",
MID($D$2009,6,4)-1
),0)</f>
        <v>2T | 2025</v>
      </c>
      <c r="E2011" s="164" t="s">
        <v>5</v>
      </c>
    </row>
    <row r="2012" spans="2:5" ht="25" customHeight="1" x14ac:dyDescent="0.35">
      <c r="B2012" s="141" t="s">
        <v>160</v>
      </c>
      <c r="C2012" s="46">
        <f>IFERROR(SUM(C2013:C2023),0)</f>
        <v>65341</v>
      </c>
      <c r="D2012" s="52">
        <f>IFERROR(SUM(D2013:D2023),0)</f>
        <v>63963</v>
      </c>
      <c r="E2012" s="73">
        <f>IFERROR(((C2012/D2012)-1)*100,0)</f>
        <v>2.1543704954426701</v>
      </c>
    </row>
    <row r="2013" spans="2:5" ht="19" customHeight="1" x14ac:dyDescent="0.35">
      <c r="B2013" s="142" t="str">
        <f t="shared" ref="B2013:B2023" si="35">BR329</f>
        <v>Renda de aplicação financeira</v>
      </c>
      <c r="C2013" s="76">
        <f t="shared" ref="C2013:C2023" si="36" xml:space="preserve">
IFERROR(
INDEX($BR$252:$ED$500,
MATCH(
_xlfn.CONCAT($B$2009,"|",$B$2012,"|",$B2013),
$BN$252:$BN$500,0),
MATCH($C$2011,$BR$251:$ED$251,0)),
0)</f>
        <v>41204</v>
      </c>
      <c r="D2013" s="32">
        <f t="shared" ref="D2013:D2023" si="37" xml:space="preserve">
IFERROR(
INDEX($BR$252:$ED$500,
MATCH(
_xlfn.CONCAT($B$2009,"|",$B$2012,"|",$B2013),
$BN$252:$BN$500,0),
MATCH($D$2011,$BR$251:$ED$251,0)),
0)</f>
        <v>49367</v>
      </c>
      <c r="E2013" s="71">
        <f t="shared" ref="E2013:E2036" si="38">IFERROR(((C2013/D2013)-1)*100,0)</f>
        <v>-16.535337371118363</v>
      </c>
    </row>
    <row r="2014" spans="2:5" ht="19" customHeight="1" x14ac:dyDescent="0.35">
      <c r="B2014" s="142" t="str">
        <f t="shared" si="35"/>
        <v>Acréscimos moratórios sobre venda de energia</v>
      </c>
      <c r="C2014" s="76">
        <f t="shared" si="36"/>
        <v>1963</v>
      </c>
      <c r="D2014" s="32">
        <f t="shared" si="37"/>
        <v>1784</v>
      </c>
      <c r="E2014" s="71">
        <f t="shared" si="38"/>
        <v>10.03363228699552</v>
      </c>
    </row>
    <row r="2015" spans="2:5" ht="19" customHeight="1" x14ac:dyDescent="0.35">
      <c r="B2015" s="142" t="str">
        <f t="shared" si="35"/>
        <v>Variação monetária</v>
      </c>
      <c r="C2015" s="76">
        <f t="shared" si="36"/>
        <v>5845</v>
      </c>
      <c r="D2015" s="32">
        <f t="shared" si="37"/>
        <v>4407</v>
      </c>
      <c r="E2015" s="71">
        <f t="shared" si="38"/>
        <v>32.629906966190148</v>
      </c>
    </row>
    <row r="2016" spans="2:5" ht="19" customHeight="1" x14ac:dyDescent="0.35">
      <c r="B2016" s="142" t="str">
        <f t="shared" si="35"/>
        <v>Variação monetária – Empréstimos, financiamentos e debêntures</v>
      </c>
      <c r="C2016" s="76">
        <f t="shared" si="36"/>
        <v>0</v>
      </c>
      <c r="D2016" s="32">
        <f t="shared" si="37"/>
        <v>0</v>
      </c>
      <c r="E2016" s="71">
        <f t="shared" si="38"/>
        <v>0</v>
      </c>
    </row>
    <row r="2017" spans="2:5" ht="19" customHeight="1" x14ac:dyDescent="0.35">
      <c r="B2017" s="142" t="str">
        <f t="shared" si="35"/>
        <v>Variação monetária/depósitos vinculados a litígios</v>
      </c>
      <c r="C2017" s="76">
        <f t="shared" si="36"/>
        <v>2750</v>
      </c>
      <c r="D2017" s="32">
        <f t="shared" si="37"/>
        <v>3106</v>
      </c>
      <c r="E2017" s="71">
        <f t="shared" si="38"/>
        <v>-11.461687057308435</v>
      </c>
    </row>
    <row r="2018" spans="2:5" ht="19" customHeight="1" x14ac:dyDescent="0.35">
      <c r="B2018" s="142" t="str">
        <f t="shared" si="35"/>
        <v>Variações cambiais de empréstimos</v>
      </c>
      <c r="C2018" s="76">
        <f t="shared" si="36"/>
        <v>0</v>
      </c>
      <c r="D2018" s="32">
        <f t="shared" si="37"/>
        <v>0</v>
      </c>
      <c r="E2018" s="71">
        <f t="shared" si="38"/>
        <v>0</v>
      </c>
    </row>
    <row r="2019" spans="2:5" ht="19" customHeight="1" x14ac:dyDescent="0.35">
      <c r="B2019" s="142" t="str">
        <f t="shared" si="35"/>
        <v>Ganhos com inst. financeiros derivativos</v>
      </c>
      <c r="C2019" s="76">
        <f t="shared" si="36"/>
        <v>0</v>
      </c>
      <c r="D2019" s="32">
        <f t="shared" si="37"/>
        <v>0</v>
      </c>
      <c r="E2019" s="71">
        <f t="shared" si="38"/>
        <v>0</v>
      </c>
    </row>
    <row r="2020" spans="2:5" ht="19" customHeight="1" x14ac:dyDescent="0.35">
      <c r="B2020" s="142" t="str">
        <f t="shared" si="35"/>
        <v>Encargos de créditos com partes relacionadas</v>
      </c>
      <c r="C2020" s="76">
        <f t="shared" si="36"/>
        <v>0</v>
      </c>
      <c r="D2020" s="32">
        <f t="shared" si="37"/>
        <v>0</v>
      </c>
      <c r="E2020" s="71">
        <f t="shared" si="38"/>
        <v>0</v>
      </c>
    </row>
    <row r="2021" spans="2:5" ht="19" customHeight="1" x14ac:dyDescent="0.35">
      <c r="B2021" s="142" t="str">
        <f t="shared" si="35"/>
        <v>Atualização dos créditos de PIS/Pasep e Cofins</v>
      </c>
      <c r="C2021" s="76">
        <f t="shared" si="36"/>
        <v>147</v>
      </c>
      <c r="D2021" s="32">
        <f t="shared" si="37"/>
        <v>0</v>
      </c>
      <c r="E2021" s="71">
        <f t="shared" si="38"/>
        <v>0</v>
      </c>
    </row>
    <row r="2022" spans="2:5" ht="19" customHeight="1" x14ac:dyDescent="0.35">
      <c r="B2022" s="142" t="str">
        <f t="shared" si="35"/>
        <v>Outras</v>
      </c>
      <c r="C2022" s="76">
        <f t="shared" si="36"/>
        <v>16123</v>
      </c>
      <c r="D2022" s="32">
        <f t="shared" si="37"/>
        <v>7935</v>
      </c>
      <c r="E2022" s="71">
        <f t="shared" si="38"/>
        <v>103.18840579710144</v>
      </c>
    </row>
    <row r="2023" spans="2:5" ht="19" customHeight="1" x14ac:dyDescent="0.35">
      <c r="B2023" s="142" t="str">
        <f t="shared" si="35"/>
        <v>PIS/Pasep e Cofins sobre receitas financeiras</v>
      </c>
      <c r="C2023" s="76">
        <f t="shared" si="36"/>
        <v>-2691</v>
      </c>
      <c r="D2023" s="32">
        <f t="shared" si="37"/>
        <v>-2636</v>
      </c>
      <c r="E2023" s="71">
        <f t="shared" si="38"/>
        <v>2.0864946889226132</v>
      </c>
    </row>
    <row r="2024" spans="2:5" ht="25" customHeight="1" x14ac:dyDescent="0.35">
      <c r="B2024" s="141" t="s">
        <v>175</v>
      </c>
      <c r="C2024" s="46">
        <f>IFERROR(SUM(C2025:C2036),0)</f>
        <v>-185201</v>
      </c>
      <c r="D2024" s="46">
        <f>IFERROR(SUM(D2025:D2036),0)</f>
        <v>-72797</v>
      </c>
      <c r="E2024" s="73">
        <f t="shared" si="38"/>
        <v>154.40746184595517</v>
      </c>
    </row>
    <row r="2025" spans="2:5" ht="19" customHeight="1" x14ac:dyDescent="0.35">
      <c r="B2025" s="142" t="str">
        <f t="shared" ref="B2025:B2030" si="39">BR341</f>
        <v>Encargos de empréstimos e debêntures</v>
      </c>
      <c r="C2025" s="76">
        <f t="shared" ref="C2025:C2036" si="40" xml:space="preserve">
IFERROR(
INDEX($BR$252:$ED$500,
MATCH(
_xlfn.CONCAT($B$2009,"|",$B$2024,"|",$B2025),
$BN$252:$BN$500,0),
MATCH($C$2011,$BR$251:$ED$251,0)),
0)</f>
        <v>-87847</v>
      </c>
      <c r="D2025" s="32">
        <f t="shared" ref="D2025:D2036" si="41" xml:space="preserve">
IFERROR(
INDEX($BR$252:$ED$500,
MATCH(
_xlfn.CONCAT($B$2009,"|",$B$2024,"|",$B2025),
$BN$252:$BN$500,0),
MATCH($D$2011,$BR$251:$ED$251,0)),
0)</f>
        <v>-54435</v>
      </c>
      <c r="E2025" s="71">
        <f t="shared" si="38"/>
        <v>61.379627078166621</v>
      </c>
    </row>
    <row r="2026" spans="2:5" ht="19" customHeight="1" x14ac:dyDescent="0.35">
      <c r="B2026" s="142" t="str">
        <f t="shared" si="39"/>
        <v>Amortização dos custos de transação</v>
      </c>
      <c r="C2026" s="76">
        <f t="shared" si="40"/>
        <v>-1501</v>
      </c>
      <c r="D2026" s="32">
        <f t="shared" si="41"/>
        <v>-445</v>
      </c>
      <c r="E2026" s="71">
        <f t="shared" si="38"/>
        <v>237.30337078651687</v>
      </c>
    </row>
    <row r="2027" spans="2:5" ht="19" customHeight="1" x14ac:dyDescent="0.35">
      <c r="B2027" s="142" t="str">
        <f t="shared" si="39"/>
        <v>Variação monetária – Forluz</v>
      </c>
      <c r="C2027" s="76">
        <f t="shared" si="40"/>
        <v>0</v>
      </c>
      <c r="D2027" s="32">
        <f t="shared" si="41"/>
        <v>0</v>
      </c>
      <c r="E2027" s="71">
        <f t="shared" si="38"/>
        <v>0</v>
      </c>
    </row>
    <row r="2028" spans="2:5" ht="19" customHeight="1" x14ac:dyDescent="0.35">
      <c r="B2028" s="142" t="str">
        <f t="shared" si="39"/>
        <v>Variação monetária – Empréstimos e debêntures</v>
      </c>
      <c r="C2028" s="76">
        <f t="shared" si="40"/>
        <v>-40147</v>
      </c>
      <c r="D2028" s="32">
        <f t="shared" si="41"/>
        <v>-3086</v>
      </c>
      <c r="E2028" s="71">
        <f t="shared" si="38"/>
        <v>1200.9397278029812</v>
      </c>
    </row>
    <row r="2029" spans="2:5" ht="19" customHeight="1" x14ac:dyDescent="0.35">
      <c r="B2029" s="142" t="str">
        <f t="shared" si="39"/>
        <v>Variações monetárias</v>
      </c>
      <c r="C2029" s="76">
        <f t="shared" si="40"/>
        <v>-3977</v>
      </c>
      <c r="D2029" s="32">
        <f t="shared" si="41"/>
        <v>-1965</v>
      </c>
      <c r="E2029" s="71">
        <f t="shared" si="38"/>
        <v>102.39185750636133</v>
      </c>
    </row>
    <row r="2030" spans="2:5" ht="19" customHeight="1" x14ac:dyDescent="0.35">
      <c r="B2030" s="142" t="str">
        <f t="shared" si="39"/>
        <v>Atualização financeira de provisões</v>
      </c>
      <c r="C2030" s="76">
        <f t="shared" si="40"/>
        <v>-42053</v>
      </c>
      <c r="D2030" s="32">
        <f t="shared" si="41"/>
        <v>-10788</v>
      </c>
      <c r="E2030" s="71">
        <f t="shared" ref="E2030" si="42">IFERROR(((C2030/D2030)-1)*100,0)</f>
        <v>289.81275491286613</v>
      </c>
    </row>
    <row r="2031" spans="2:5" ht="19" customHeight="1" x14ac:dyDescent="0.35">
      <c r="B2031" s="142" t="str">
        <f t="shared" ref="B2031:B2036" si="43">BR347</f>
        <v>Ágio na recompra de títulos de dívida (Eurobonds)</v>
      </c>
      <c r="C2031" s="76">
        <f t="shared" si="40"/>
        <v>0</v>
      </c>
      <c r="D2031" s="32">
        <f t="shared" si="41"/>
        <v>0</v>
      </c>
      <c r="E2031" s="71">
        <f t="shared" si="38"/>
        <v>0</v>
      </c>
    </row>
    <row r="2032" spans="2:5" ht="19" customHeight="1" x14ac:dyDescent="0.35">
      <c r="B2032" s="142" t="str">
        <f t="shared" si="43"/>
        <v>Variações cambiais de empréstimos</v>
      </c>
      <c r="C2032" s="76">
        <f t="shared" si="40"/>
        <v>0</v>
      </c>
      <c r="D2032" s="32">
        <f t="shared" si="41"/>
        <v>0</v>
      </c>
      <c r="E2032" s="71">
        <f t="shared" si="38"/>
        <v>0</v>
      </c>
    </row>
    <row r="2033" spans="2:5" ht="19" customHeight="1" x14ac:dyDescent="0.35">
      <c r="B2033" s="142" t="str">
        <f t="shared" si="43"/>
        <v>Variação cambial de empréstimos, líquida de derivativos</v>
      </c>
      <c r="C2033" s="76">
        <f t="shared" si="40"/>
        <v>0</v>
      </c>
      <c r="D2033" s="32">
        <f t="shared" si="41"/>
        <v>0</v>
      </c>
      <c r="E2033" s="71">
        <f t="shared" si="38"/>
        <v>0</v>
      </c>
    </row>
    <row r="2034" spans="2:5" ht="19" customHeight="1" x14ac:dyDescent="0.35">
      <c r="B2034" s="142" t="str">
        <f t="shared" si="43"/>
        <v>Perdas com instrumentos financeiros derivativos swap</v>
      </c>
      <c r="C2034" s="76">
        <f t="shared" si="40"/>
        <v>-3559</v>
      </c>
      <c r="D2034" s="32">
        <f t="shared" si="41"/>
        <v>0</v>
      </c>
      <c r="E2034" s="71">
        <f t="shared" si="38"/>
        <v>0</v>
      </c>
    </row>
    <row r="2035" spans="2:5" ht="19" customHeight="1" x14ac:dyDescent="0.35">
      <c r="B2035" s="142" t="str">
        <f t="shared" si="43"/>
        <v>Variação monetária de arrendamento</v>
      </c>
      <c r="C2035" s="76">
        <f t="shared" si="40"/>
        <v>-1306</v>
      </c>
      <c r="D2035" s="32">
        <f t="shared" si="41"/>
        <v>-1267</v>
      </c>
      <c r="E2035" s="71">
        <f t="shared" si="38"/>
        <v>3.0781373322809724</v>
      </c>
    </row>
    <row r="2036" spans="2:5" ht="19" customHeight="1" x14ac:dyDescent="0.35">
      <c r="B2036" s="142" t="str">
        <f t="shared" si="43"/>
        <v>Outras</v>
      </c>
      <c r="C2036" s="76">
        <f t="shared" si="40"/>
        <v>-4811</v>
      </c>
      <c r="D2036" s="32">
        <f t="shared" si="41"/>
        <v>-811</v>
      </c>
      <c r="E2036" s="71">
        <f t="shared" si="38"/>
        <v>493.21824907521579</v>
      </c>
    </row>
    <row r="2037" spans="2:5" ht="28" customHeight="1" x14ac:dyDescent="0.35">
      <c r="B2037" s="48" t="s">
        <v>158</v>
      </c>
      <c r="C2037" s="58">
        <f>IFERROR(SUM($C$2012,$C$2024),0)</f>
        <v>-119860</v>
      </c>
      <c r="D2037" s="58">
        <f>IFERROR(SUM($D$2012,$D$2024),0)</f>
        <v>-8834</v>
      </c>
      <c r="E2037" s="199">
        <f>IFERROR(((C2037/D2037)-1)*100,0)</f>
        <v>1256.8032601313109</v>
      </c>
    </row>
  </sheetData>
  <mergeCells count="13">
    <mergeCell ref="B5:E5"/>
    <mergeCell ref="D7:E7"/>
    <mergeCell ref="B7:C7"/>
    <mergeCell ref="B1005:E1005"/>
    <mergeCell ref="B1007:C1007"/>
    <mergeCell ref="D1007:E1007"/>
    <mergeCell ref="D2009:E2009"/>
    <mergeCell ref="B2009:C2009"/>
    <mergeCell ref="BR249:CR249"/>
    <mergeCell ref="BR247:CR247"/>
    <mergeCell ref="BR289:CR289"/>
    <mergeCell ref="BR325:CR325"/>
    <mergeCell ref="B2007:E2007"/>
  </mergeCells>
  <dataValidations count="1">
    <dataValidation type="list" allowBlank="1" showInputMessage="1" showErrorMessage="1" sqref="D7:E7 D2009:E2009 D1007:E1007" xr:uid="{A0D632BE-6AA6-4E43-A542-ED330D74A5C1}">
      <formula1>$BS$251:$ED$251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8E96-7F3C-466C-BE16-D8CDD1498871}">
  <sheetPr>
    <tabColor rgb="FF17772E"/>
  </sheetPr>
  <dimension ref="B5:K74"/>
  <sheetViews>
    <sheetView showGridLines="0" zoomScale="70" zoomScaleNormal="70" workbookViewId="0"/>
  </sheetViews>
  <sheetFormatPr defaultRowHeight="14.5" x14ac:dyDescent="0.35"/>
  <cols>
    <col min="1" max="1" width="2.54296875" customWidth="1"/>
    <col min="2" max="2" width="73.7265625" bestFit="1" customWidth="1"/>
    <col min="3" max="6" width="23.54296875" customWidth="1"/>
    <col min="7" max="11" width="20.54296875" customWidth="1"/>
    <col min="12" max="15" width="15.54296875" customWidth="1"/>
  </cols>
  <sheetData>
    <row r="5" spans="2:11" ht="45" customHeight="1" x14ac:dyDescent="0.35">
      <c r="B5" s="481" t="s">
        <v>219</v>
      </c>
      <c r="C5" s="481"/>
      <c r="D5" s="481"/>
      <c r="E5" s="481"/>
      <c r="F5" s="481"/>
      <c r="G5" s="481"/>
      <c r="H5" s="481"/>
      <c r="I5" s="481"/>
      <c r="J5" s="481"/>
      <c r="K5" s="481"/>
    </row>
    <row r="7" spans="2:11" s="1" customFormat="1" ht="20.149999999999999" customHeight="1" x14ac:dyDescent="0.35">
      <c r="B7" s="485" t="s">
        <v>26</v>
      </c>
      <c r="C7" s="487" t="s">
        <v>220</v>
      </c>
      <c r="D7" s="487"/>
      <c r="E7" s="487"/>
      <c r="F7" s="487"/>
      <c r="G7" s="483" t="s">
        <v>141</v>
      </c>
      <c r="H7" s="488" t="s">
        <v>221</v>
      </c>
      <c r="I7" s="490" t="s">
        <v>143</v>
      </c>
      <c r="J7" s="483" t="s">
        <v>222</v>
      </c>
      <c r="K7" s="483" t="s">
        <v>223</v>
      </c>
    </row>
    <row r="8" spans="2:11" s="1" customFormat="1" ht="40" customHeight="1" x14ac:dyDescent="0.35">
      <c r="B8" s="486"/>
      <c r="C8" s="393" t="s">
        <v>137</v>
      </c>
      <c r="D8" s="393" t="s">
        <v>138</v>
      </c>
      <c r="E8" s="393" t="s">
        <v>139</v>
      </c>
      <c r="F8" s="393" t="s">
        <v>140</v>
      </c>
      <c r="G8" s="484"/>
      <c r="H8" s="489"/>
      <c r="I8" s="491"/>
      <c r="J8" s="484"/>
      <c r="K8" s="484"/>
    </row>
    <row r="9" spans="2:11" ht="25" customHeight="1" x14ac:dyDescent="0.35">
      <c r="B9" s="4" t="s">
        <v>6</v>
      </c>
      <c r="C9" s="316">
        <f>IFERROR(SUM(C10:C11),0)</f>
        <v>923499</v>
      </c>
      <c r="D9" s="316">
        <f t="shared" ref="D9:H9" si="0">IFERROR(SUM(D10:D11),0)</f>
        <v>492015</v>
      </c>
      <c r="E9" s="316">
        <f t="shared" si="0"/>
        <v>2110699</v>
      </c>
      <c r="F9" s="316">
        <f t="shared" si="0"/>
        <v>7715790</v>
      </c>
      <c r="G9" s="316">
        <f t="shared" si="0"/>
        <v>500244</v>
      </c>
      <c r="H9" s="316">
        <f t="shared" si="0"/>
        <v>36703</v>
      </c>
      <c r="I9" s="316">
        <f>IFERROR(SUM(I10:I11),0)</f>
        <v>11778950</v>
      </c>
      <c r="J9" s="316">
        <f t="shared" ref="J9" si="1">SUM(J10:J11)</f>
        <v>-622712</v>
      </c>
      <c r="K9" s="316">
        <f>IFERROR(I9+J9,0)</f>
        <v>11156238</v>
      </c>
    </row>
    <row r="10" spans="2:11" ht="20.149999999999999" customHeight="1" x14ac:dyDescent="0.35">
      <c r="B10" s="6" t="s">
        <v>224</v>
      </c>
      <c r="C10" s="25">
        <v>501998</v>
      </c>
      <c r="D10" s="25">
        <v>94212</v>
      </c>
      <c r="E10" s="25">
        <v>0</v>
      </c>
      <c r="F10" s="25">
        <v>26498</v>
      </c>
      <c r="G10" s="25">
        <v>4</v>
      </c>
      <c r="H10" s="25">
        <v>0</v>
      </c>
      <c r="I10" s="25">
        <f>SUM(C10:H10)</f>
        <v>622712</v>
      </c>
      <c r="J10" s="25">
        <v>-622712</v>
      </c>
      <c r="K10" s="25">
        <f>IFERROR(I10+J10,0)</f>
        <v>0</v>
      </c>
    </row>
    <row r="11" spans="2:11" ht="20.149999999999999" customHeight="1" x14ac:dyDescent="0.35">
      <c r="B11" s="6" t="s">
        <v>225</v>
      </c>
      <c r="C11" s="25">
        <v>421501</v>
      </c>
      <c r="D11" s="25">
        <v>397803</v>
      </c>
      <c r="E11" s="25">
        <v>2110699</v>
      </c>
      <c r="F11" s="25">
        <v>7689292</v>
      </c>
      <c r="G11" s="25">
        <v>500240</v>
      </c>
      <c r="H11" s="25">
        <v>36703</v>
      </c>
      <c r="I11" s="25">
        <f>SUM(C11:H11)</f>
        <v>11156238</v>
      </c>
      <c r="J11" s="25">
        <v>0</v>
      </c>
      <c r="K11" s="25">
        <f>IFERROR(I11+J11,0)</f>
        <v>11156238</v>
      </c>
    </row>
    <row r="12" spans="2:11" ht="18" customHeight="1" x14ac:dyDescent="0.35">
      <c r="B12" s="216"/>
      <c r="C12" s="25"/>
      <c r="D12" s="25"/>
      <c r="E12" s="25"/>
      <c r="F12" s="25"/>
      <c r="G12" s="25"/>
      <c r="H12" s="25"/>
      <c r="I12" s="25"/>
      <c r="J12" s="25"/>
      <c r="K12" s="25"/>
    </row>
    <row r="13" spans="2:11" ht="25" customHeight="1" x14ac:dyDescent="0.35">
      <c r="B13" s="4" t="s">
        <v>226</v>
      </c>
      <c r="C13" s="316">
        <f>IFERROR(SUM(C14:C15),0)</f>
        <v>-178538</v>
      </c>
      <c r="D13" s="316">
        <f t="shared" ref="D13:H13" si="2">IFERROR(SUM(D14:D15),0)</f>
        <v>-114</v>
      </c>
      <c r="E13" s="316">
        <f t="shared" si="2"/>
        <v>-2252425</v>
      </c>
      <c r="F13" s="316">
        <f t="shared" si="2"/>
        <v>-3799289</v>
      </c>
      <c r="G13" s="316">
        <f t="shared" si="2"/>
        <v>-198475</v>
      </c>
      <c r="H13" s="316">
        <f t="shared" si="2"/>
        <v>-383</v>
      </c>
      <c r="I13" s="316">
        <f>IFERROR(SUM(I14:I15),0)</f>
        <v>-6429224</v>
      </c>
      <c r="J13" s="316">
        <f t="shared" ref="J13" si="3">SUM(J14:J15)</f>
        <v>614986</v>
      </c>
      <c r="K13" s="316">
        <f>IFERROR(I13+J13,0)</f>
        <v>-5814238</v>
      </c>
    </row>
    <row r="14" spans="2:11" ht="20.149999999999999" customHeight="1" x14ac:dyDescent="0.35">
      <c r="B14" s="6" t="s">
        <v>224</v>
      </c>
      <c r="C14" s="25">
        <v>-26240</v>
      </c>
      <c r="D14" s="25">
        <v>-28</v>
      </c>
      <c r="E14" s="25">
        <v>-475381</v>
      </c>
      <c r="F14" s="25">
        <v>-113506</v>
      </c>
      <c r="G14" s="25">
        <v>0</v>
      </c>
      <c r="H14" s="25">
        <v>169</v>
      </c>
      <c r="I14" s="25">
        <f>SUM(C14:H14)</f>
        <v>-614986</v>
      </c>
      <c r="J14" s="25">
        <v>614986</v>
      </c>
      <c r="K14" s="25">
        <f>IFERROR(I14+J14,0)</f>
        <v>0</v>
      </c>
    </row>
    <row r="15" spans="2:11" ht="20.149999999999999" customHeight="1" x14ac:dyDescent="0.35">
      <c r="B15" s="6" t="s">
        <v>225</v>
      </c>
      <c r="C15" s="25">
        <v>-152298</v>
      </c>
      <c r="D15" s="25">
        <v>-86</v>
      </c>
      <c r="E15" s="25">
        <v>-1777044</v>
      </c>
      <c r="F15" s="25">
        <v>-3685783</v>
      </c>
      <c r="G15" s="25">
        <v>-198475</v>
      </c>
      <c r="H15" s="25">
        <v>-552</v>
      </c>
      <c r="I15" s="25">
        <f>SUM(C15:H15)</f>
        <v>-5814238</v>
      </c>
      <c r="J15" s="25">
        <v>0</v>
      </c>
      <c r="K15" s="25">
        <f>IFERROR(I15+J15,0)</f>
        <v>-5814238</v>
      </c>
    </row>
    <row r="16" spans="2:11" ht="18" customHeight="1" x14ac:dyDescent="0.35">
      <c r="B16" s="216"/>
      <c r="C16" s="25"/>
      <c r="D16" s="25"/>
      <c r="E16" s="25"/>
      <c r="F16" s="25"/>
      <c r="G16" s="25"/>
      <c r="H16" s="25"/>
      <c r="I16" s="25"/>
      <c r="J16" s="25"/>
      <c r="K16" s="25"/>
    </row>
    <row r="17" spans="2:11" ht="25" customHeight="1" x14ac:dyDescent="0.35">
      <c r="B17" s="4" t="s">
        <v>227</v>
      </c>
      <c r="C17" s="316">
        <f>IFERROR(SUM(C18:C21,C24:C26),0)</f>
        <v>-212680</v>
      </c>
      <c r="D17" s="316">
        <f t="shared" ref="D17:H17" si="4">IFERROR(SUM(D18:D21,D24:D26),0)</f>
        <v>-245738</v>
      </c>
      <c r="E17" s="316">
        <f t="shared" si="4"/>
        <v>-229427</v>
      </c>
      <c r="F17" s="316">
        <f t="shared" si="4"/>
        <v>-2721546</v>
      </c>
      <c r="G17" s="316">
        <f t="shared" si="4"/>
        <v>-124760</v>
      </c>
      <c r="H17" s="316">
        <f t="shared" si="4"/>
        <v>-77712</v>
      </c>
      <c r="I17" s="316">
        <f>IFERROR(SUM(I18:I21,I24:I26),0)</f>
        <v>-3611863</v>
      </c>
      <c r="J17" s="316">
        <f>IFERROR(SUM(J18:J21,J24:J26),0)</f>
        <v>7726</v>
      </c>
      <c r="K17" s="138">
        <f>IFERROR(I17+J17,0)</f>
        <v>-3604137</v>
      </c>
    </row>
    <row r="18" spans="2:11" ht="18" customHeight="1" x14ac:dyDescent="0.35">
      <c r="B18" s="36" t="s">
        <v>109</v>
      </c>
      <c r="C18" s="25">
        <v>-41792</v>
      </c>
      <c r="D18" s="25">
        <v>-42513</v>
      </c>
      <c r="E18" s="25">
        <v>-16169</v>
      </c>
      <c r="F18" s="25">
        <v>-286083</v>
      </c>
      <c r="G18" s="25">
        <v>-17159</v>
      </c>
      <c r="H18" s="25">
        <v>-17091</v>
      </c>
      <c r="I18" s="25">
        <f t="shared" ref="I18:I38" si="5">IFERROR(SUM(C18:H18),0)</f>
        <v>-420807</v>
      </c>
      <c r="J18" s="25">
        <v>0</v>
      </c>
      <c r="K18" s="25">
        <f t="shared" ref="K18:K38" si="6">IFERROR(I18+J18,0)</f>
        <v>-420807</v>
      </c>
    </row>
    <row r="19" spans="2:11" ht="20.149999999999999" customHeight="1" x14ac:dyDescent="0.35">
      <c r="B19" s="36" t="s">
        <v>75</v>
      </c>
      <c r="C19" s="25">
        <v>-4775</v>
      </c>
      <c r="D19" s="25">
        <v>-4735</v>
      </c>
      <c r="E19" s="25">
        <v>-3894</v>
      </c>
      <c r="F19" s="25">
        <v>-27394</v>
      </c>
      <c r="G19" s="25">
        <v>-3019</v>
      </c>
      <c r="H19" s="25">
        <v>-9563</v>
      </c>
      <c r="I19" s="25">
        <f t="shared" si="5"/>
        <v>-53380</v>
      </c>
      <c r="J19" s="25">
        <v>0</v>
      </c>
      <c r="K19" s="25">
        <f t="shared" si="6"/>
        <v>-53380</v>
      </c>
    </row>
    <row r="20" spans="2:11" ht="20.149999999999999" customHeight="1" x14ac:dyDescent="0.35">
      <c r="B20" s="36" t="s">
        <v>111</v>
      </c>
      <c r="C20" s="25">
        <v>-6026</v>
      </c>
      <c r="D20" s="25">
        <v>-1507</v>
      </c>
      <c r="E20" s="25">
        <v>-656</v>
      </c>
      <c r="F20" s="25">
        <v>-28897</v>
      </c>
      <c r="G20" s="25">
        <v>0</v>
      </c>
      <c r="H20" s="25">
        <v>-13147</v>
      </c>
      <c r="I20" s="25">
        <f t="shared" si="5"/>
        <v>-50233</v>
      </c>
      <c r="J20" s="25">
        <v>0</v>
      </c>
      <c r="K20" s="25">
        <f t="shared" si="6"/>
        <v>-50233</v>
      </c>
    </row>
    <row r="21" spans="2:11" ht="20.149999999999999" customHeight="1" x14ac:dyDescent="0.35">
      <c r="B21" s="446" t="s">
        <v>228</v>
      </c>
      <c r="C21" s="476">
        <v>-75070</v>
      </c>
      <c r="D21" s="476">
        <v>-22910</v>
      </c>
      <c r="E21" s="476">
        <v>-10383</v>
      </c>
      <c r="F21" s="476">
        <v>-659023</v>
      </c>
      <c r="G21" s="476">
        <v>-19660</v>
      </c>
      <c r="H21" s="476">
        <v>-48790</v>
      </c>
      <c r="I21" s="476">
        <f t="shared" si="5"/>
        <v>-835836</v>
      </c>
      <c r="J21" s="476">
        <v>7726</v>
      </c>
      <c r="K21" s="476">
        <f t="shared" si="6"/>
        <v>-828110</v>
      </c>
    </row>
    <row r="22" spans="2:11" ht="20.149999999999999" customHeight="1" x14ac:dyDescent="0.35">
      <c r="B22" s="6" t="s">
        <v>224</v>
      </c>
      <c r="C22" s="25">
        <v>-5963</v>
      </c>
      <c r="D22" s="25">
        <v>-995</v>
      </c>
      <c r="E22" s="25">
        <v>0</v>
      </c>
      <c r="F22" s="25">
        <v>-719</v>
      </c>
      <c r="G22" s="25">
        <v>-41</v>
      </c>
      <c r="H22" s="25">
        <v>-8</v>
      </c>
      <c r="I22" s="25">
        <f t="shared" si="5"/>
        <v>-7726</v>
      </c>
      <c r="J22" s="25">
        <v>7726</v>
      </c>
      <c r="K22" s="25">
        <f t="shared" si="6"/>
        <v>0</v>
      </c>
    </row>
    <row r="23" spans="2:11" ht="20.149999999999999" customHeight="1" x14ac:dyDescent="0.35">
      <c r="B23" s="6" t="s">
        <v>225</v>
      </c>
      <c r="C23" s="25">
        <v>-69107</v>
      </c>
      <c r="D23" s="25">
        <v>-21915</v>
      </c>
      <c r="E23" s="25">
        <v>-10383</v>
      </c>
      <c r="F23" s="25">
        <v>-658304</v>
      </c>
      <c r="G23" s="25">
        <v>-19619</v>
      </c>
      <c r="H23" s="25">
        <v>-48782</v>
      </c>
      <c r="I23" s="25">
        <f t="shared" si="5"/>
        <v>-828110</v>
      </c>
      <c r="J23" s="25">
        <v>0</v>
      </c>
      <c r="K23" s="25">
        <f t="shared" si="6"/>
        <v>-828110</v>
      </c>
    </row>
    <row r="24" spans="2:11" ht="20.149999999999999" customHeight="1" x14ac:dyDescent="0.35">
      <c r="B24" s="36" t="s">
        <v>79</v>
      </c>
      <c r="C24" s="25">
        <v>-84847</v>
      </c>
      <c r="D24" s="25">
        <v>-4941</v>
      </c>
      <c r="E24" s="25">
        <v>-3</v>
      </c>
      <c r="F24" s="25">
        <v>-281795</v>
      </c>
      <c r="G24" s="25">
        <v>-28896</v>
      </c>
      <c r="H24" s="25">
        <v>-9587</v>
      </c>
      <c r="I24" s="25">
        <f t="shared" si="5"/>
        <v>-410069</v>
      </c>
      <c r="J24" s="25">
        <v>0</v>
      </c>
      <c r="K24" s="25">
        <f t="shared" si="6"/>
        <v>-410069</v>
      </c>
    </row>
    <row r="25" spans="2:11" ht="20.149999999999999" customHeight="1" x14ac:dyDescent="0.35">
      <c r="B25" s="36" t="s">
        <v>229</v>
      </c>
      <c r="C25" s="25">
        <v>-170</v>
      </c>
      <c r="D25" s="25">
        <v>-3272</v>
      </c>
      <c r="E25" s="25">
        <v>-198322</v>
      </c>
      <c r="F25" s="25">
        <v>95747</v>
      </c>
      <c r="G25" s="25">
        <v>-2897</v>
      </c>
      <c r="H25" s="25">
        <v>20466</v>
      </c>
      <c r="I25" s="25">
        <f t="shared" si="5"/>
        <v>-88448</v>
      </c>
      <c r="J25" s="25">
        <v>0</v>
      </c>
      <c r="K25" s="25">
        <f t="shared" si="6"/>
        <v>-88448</v>
      </c>
    </row>
    <row r="26" spans="2:11" ht="20.149999999999999" customHeight="1" x14ac:dyDescent="0.35">
      <c r="B26" s="36" t="s">
        <v>73</v>
      </c>
      <c r="C26" s="25">
        <v>0</v>
      </c>
      <c r="D26" s="25">
        <v>-165860</v>
      </c>
      <c r="E26" s="25">
        <v>0</v>
      </c>
      <c r="F26" s="25">
        <v>-1534101</v>
      </c>
      <c r="G26" s="25">
        <v>-53129</v>
      </c>
      <c r="H26" s="25">
        <v>0</v>
      </c>
      <c r="I26" s="25">
        <f t="shared" si="5"/>
        <v>-1753090</v>
      </c>
      <c r="J26" s="25">
        <v>0</v>
      </c>
      <c r="K26" s="25">
        <f>IFERROR(I26+J26,0)</f>
        <v>-1753090</v>
      </c>
    </row>
    <row r="27" spans="2:11" ht="18" customHeight="1" x14ac:dyDescent="0.35">
      <c r="B27" s="311"/>
      <c r="C27" s="313"/>
      <c r="D27" s="313"/>
      <c r="E27" s="313"/>
      <c r="F27" s="313"/>
      <c r="G27" s="313"/>
      <c r="H27" s="313"/>
      <c r="I27" s="25"/>
      <c r="J27" s="313"/>
      <c r="K27" s="25"/>
    </row>
    <row r="28" spans="2:11" ht="25" customHeight="1" x14ac:dyDescent="0.35">
      <c r="B28" s="4" t="s">
        <v>829</v>
      </c>
      <c r="C28" s="428">
        <f>SUM(C17,C13)</f>
        <v>-391218</v>
      </c>
      <c r="D28" s="428">
        <f t="shared" ref="D28:H28" si="7">SUM(D17,D13)</f>
        <v>-245852</v>
      </c>
      <c r="E28" s="428">
        <f t="shared" si="7"/>
        <v>-2481852</v>
      </c>
      <c r="F28" s="428">
        <f t="shared" si="7"/>
        <v>-6520835</v>
      </c>
      <c r="G28" s="428">
        <f t="shared" si="7"/>
        <v>-323235</v>
      </c>
      <c r="H28" s="428">
        <f t="shared" si="7"/>
        <v>-78095</v>
      </c>
      <c r="I28" s="428">
        <f>SUM(I17,I13)</f>
        <v>-10041087</v>
      </c>
      <c r="J28" s="428">
        <f>SUM(J17,J13)</f>
        <v>622712</v>
      </c>
      <c r="K28" s="316">
        <f>IFERROR(I28+J28,0)</f>
        <v>-9418375</v>
      </c>
    </row>
    <row r="29" spans="2:11" ht="18" customHeight="1" x14ac:dyDescent="0.35">
      <c r="B29" s="308"/>
      <c r="C29" s="314"/>
      <c r="D29" s="314"/>
      <c r="E29" s="314"/>
      <c r="F29" s="314"/>
      <c r="G29" s="314"/>
      <c r="H29" s="314"/>
      <c r="I29" s="25"/>
      <c r="J29" s="314"/>
      <c r="K29" s="25"/>
    </row>
    <row r="30" spans="2:11" ht="25" customHeight="1" x14ac:dyDescent="0.35">
      <c r="B30" s="309" t="s">
        <v>8</v>
      </c>
      <c r="C30" s="314">
        <v>0</v>
      </c>
      <c r="D30" s="314">
        <v>0</v>
      </c>
      <c r="E30" s="314">
        <v>0</v>
      </c>
      <c r="F30" s="314">
        <v>0</v>
      </c>
      <c r="G30" s="314">
        <v>0</v>
      </c>
      <c r="H30" s="314">
        <v>91383</v>
      </c>
      <c r="I30" s="316">
        <f t="shared" si="5"/>
        <v>91383</v>
      </c>
      <c r="J30" s="314">
        <v>0</v>
      </c>
      <c r="K30" s="316">
        <f t="shared" si="6"/>
        <v>91383</v>
      </c>
    </row>
    <row r="31" spans="2:11" ht="18" customHeight="1" x14ac:dyDescent="0.35">
      <c r="B31" s="308"/>
      <c r="C31" s="314"/>
      <c r="D31" s="314"/>
      <c r="E31" s="314"/>
      <c r="F31" s="314"/>
      <c r="G31" s="314"/>
      <c r="H31" s="314"/>
      <c r="I31" s="25"/>
      <c r="J31" s="314"/>
      <c r="K31" s="25"/>
    </row>
    <row r="32" spans="2:11" ht="25" customHeight="1" x14ac:dyDescent="0.35">
      <c r="B32" s="309" t="s">
        <v>230</v>
      </c>
      <c r="C32" s="317">
        <f>IFERROR(SUM(C30,C28,C9),0)</f>
        <v>532281</v>
      </c>
      <c r="D32" s="317">
        <f t="shared" ref="D32:H32" si="8">IFERROR(SUM(D30,D28,D9),0)</f>
        <v>246163</v>
      </c>
      <c r="E32" s="317">
        <f t="shared" si="8"/>
        <v>-371153</v>
      </c>
      <c r="F32" s="317">
        <f t="shared" si="8"/>
        <v>1194955</v>
      </c>
      <c r="G32" s="317">
        <f t="shared" si="8"/>
        <v>177009</v>
      </c>
      <c r="H32" s="317">
        <f t="shared" si="8"/>
        <v>49991</v>
      </c>
      <c r="I32" s="316">
        <f>IFERROR(SUM(C32:H32),0)</f>
        <v>1829246</v>
      </c>
      <c r="J32" s="314">
        <v>0</v>
      </c>
      <c r="K32" s="316">
        <f t="shared" si="6"/>
        <v>1829246</v>
      </c>
    </row>
    <row r="33" spans="2:11" ht="20.149999999999999" customHeight="1" x14ac:dyDescent="0.35">
      <c r="B33" s="310" t="s">
        <v>146</v>
      </c>
      <c r="C33" s="429">
        <v>-42030</v>
      </c>
      <c r="D33" s="429">
        <v>-33322</v>
      </c>
      <c r="E33" s="429">
        <v>-269</v>
      </c>
      <c r="F33" s="429">
        <v>-608194</v>
      </c>
      <c r="G33" s="429">
        <v>-32050</v>
      </c>
      <c r="H33" s="429">
        <v>-80040</v>
      </c>
      <c r="I33" s="25">
        <f t="shared" si="5"/>
        <v>-795905</v>
      </c>
      <c r="J33" s="429">
        <v>0</v>
      </c>
      <c r="K33" s="25">
        <f t="shared" si="6"/>
        <v>-795905</v>
      </c>
    </row>
    <row r="34" spans="2:11" ht="25" customHeight="1" x14ac:dyDescent="0.35">
      <c r="B34" s="309" t="s">
        <v>231</v>
      </c>
      <c r="C34" s="317">
        <f>IFERROR(SUM(C32:C33),0)</f>
        <v>490251</v>
      </c>
      <c r="D34" s="317">
        <f t="shared" ref="D34:H34" si="9">IFERROR(SUM(D32:D33),0)</f>
        <v>212841</v>
      </c>
      <c r="E34" s="317">
        <f t="shared" si="9"/>
        <v>-371422</v>
      </c>
      <c r="F34" s="317">
        <f t="shared" si="9"/>
        <v>586761</v>
      </c>
      <c r="G34" s="317">
        <f t="shared" si="9"/>
        <v>144959</v>
      </c>
      <c r="H34" s="317">
        <f t="shared" si="9"/>
        <v>-30049</v>
      </c>
      <c r="I34" s="316">
        <f t="shared" si="5"/>
        <v>1033341</v>
      </c>
      <c r="J34" s="314">
        <v>0</v>
      </c>
      <c r="K34" s="316">
        <f t="shared" si="6"/>
        <v>1033341</v>
      </c>
    </row>
    <row r="35" spans="2:11" ht="20.149999999999999" customHeight="1" x14ac:dyDescent="0.35">
      <c r="B35" s="310" t="s">
        <v>15</v>
      </c>
      <c r="C35" s="429">
        <v>-24737</v>
      </c>
      <c r="D35" s="429">
        <v>-23769</v>
      </c>
      <c r="E35" s="429">
        <v>63283</v>
      </c>
      <c r="F35" s="429">
        <v>-103627</v>
      </c>
      <c r="G35" s="429">
        <v>-49062</v>
      </c>
      <c r="H35" s="429">
        <v>50015</v>
      </c>
      <c r="I35" s="25">
        <f t="shared" si="5"/>
        <v>-87897</v>
      </c>
      <c r="J35" s="429">
        <v>0</v>
      </c>
      <c r="K35" s="25">
        <f t="shared" si="6"/>
        <v>-87897</v>
      </c>
    </row>
    <row r="36" spans="2:11" ht="25" customHeight="1" x14ac:dyDescent="0.35">
      <c r="B36" s="309" t="s">
        <v>232</v>
      </c>
      <c r="C36" s="317">
        <f>IFERROR(SUM(C34:C35),0)</f>
        <v>465514</v>
      </c>
      <c r="D36" s="317">
        <f t="shared" ref="D36:H36" si="10">IFERROR(SUM(D34:D35),0)</f>
        <v>189072</v>
      </c>
      <c r="E36" s="317">
        <f t="shared" si="10"/>
        <v>-308139</v>
      </c>
      <c r="F36" s="317">
        <f t="shared" si="10"/>
        <v>483134</v>
      </c>
      <c r="G36" s="317">
        <f t="shared" si="10"/>
        <v>95897</v>
      </c>
      <c r="H36" s="317">
        <f t="shared" si="10"/>
        <v>19966</v>
      </c>
      <c r="I36" s="316">
        <f t="shared" si="5"/>
        <v>945444</v>
      </c>
      <c r="J36" s="314">
        <v>0</v>
      </c>
      <c r="K36" s="316">
        <f t="shared" si="6"/>
        <v>945444</v>
      </c>
    </row>
    <row r="37" spans="2:11" ht="20.149999999999999" customHeight="1" x14ac:dyDescent="0.35">
      <c r="B37" s="310" t="s">
        <v>18</v>
      </c>
      <c r="C37" s="429">
        <v>465514</v>
      </c>
      <c r="D37" s="429">
        <v>189072</v>
      </c>
      <c r="E37" s="429">
        <v>-308139</v>
      </c>
      <c r="F37" s="429">
        <v>483134</v>
      </c>
      <c r="G37" s="429">
        <v>95485</v>
      </c>
      <c r="H37" s="429">
        <v>19966</v>
      </c>
      <c r="I37" s="25">
        <f t="shared" si="5"/>
        <v>945032</v>
      </c>
      <c r="J37" s="429">
        <v>0</v>
      </c>
      <c r="K37" s="25">
        <f t="shared" si="6"/>
        <v>945032</v>
      </c>
    </row>
    <row r="38" spans="2:11" ht="20.149999999999999" customHeight="1" thickBot="1" x14ac:dyDescent="0.4">
      <c r="B38" s="312" t="s">
        <v>19</v>
      </c>
      <c r="C38" s="318">
        <v>0</v>
      </c>
      <c r="D38" s="318">
        <v>0</v>
      </c>
      <c r="E38" s="318">
        <v>0</v>
      </c>
      <c r="F38" s="318">
        <v>0</v>
      </c>
      <c r="G38" s="318">
        <v>412</v>
      </c>
      <c r="H38" s="318">
        <v>0</v>
      </c>
      <c r="I38" s="318">
        <f t="shared" si="5"/>
        <v>412</v>
      </c>
      <c r="J38" s="315">
        <v>0</v>
      </c>
      <c r="K38" s="318">
        <f t="shared" si="6"/>
        <v>412</v>
      </c>
    </row>
    <row r="39" spans="2:11" ht="18" customHeight="1" x14ac:dyDescent="0.35"/>
    <row r="40" spans="2:11" ht="18" customHeight="1" x14ac:dyDescent="0.35"/>
    <row r="41" spans="2:11" ht="18" customHeight="1" x14ac:dyDescent="0.35"/>
    <row r="42" spans="2:11" ht="18" customHeight="1" x14ac:dyDescent="0.35"/>
    <row r="43" spans="2:11" ht="20.149999999999999" customHeight="1" x14ac:dyDescent="0.35">
      <c r="B43" s="485" t="s">
        <v>28</v>
      </c>
      <c r="C43" s="487" t="s">
        <v>220</v>
      </c>
      <c r="D43" s="487"/>
      <c r="E43" s="487"/>
      <c r="F43" s="487"/>
      <c r="G43" s="483" t="s">
        <v>141</v>
      </c>
      <c r="H43" s="488" t="s">
        <v>221</v>
      </c>
      <c r="I43" s="490" t="s">
        <v>143</v>
      </c>
      <c r="J43" s="483" t="s">
        <v>222</v>
      </c>
      <c r="K43" s="483" t="s">
        <v>223</v>
      </c>
    </row>
    <row r="44" spans="2:11" ht="40" customHeight="1" x14ac:dyDescent="0.35">
      <c r="B44" s="486"/>
      <c r="C44" s="393" t="s">
        <v>137</v>
      </c>
      <c r="D44" s="393" t="s">
        <v>138</v>
      </c>
      <c r="E44" s="393" t="s">
        <v>139</v>
      </c>
      <c r="F44" s="393" t="s">
        <v>140</v>
      </c>
      <c r="G44" s="484"/>
      <c r="H44" s="489"/>
      <c r="I44" s="491"/>
      <c r="J44" s="484"/>
      <c r="K44" s="484"/>
    </row>
    <row r="45" spans="2:11" ht="25" customHeight="1" x14ac:dyDescent="0.35">
      <c r="B45" s="4" t="s">
        <v>6</v>
      </c>
      <c r="C45" s="316">
        <f>IFERROR(SUM(C46:C47),0)</f>
        <v>813582</v>
      </c>
      <c r="D45" s="316">
        <f t="shared" ref="D45:H45" si="11">IFERROR(SUM(D46:D47),0)</f>
        <v>383793</v>
      </c>
      <c r="E45" s="316">
        <f t="shared" si="11"/>
        <v>1976069</v>
      </c>
      <c r="F45" s="316">
        <f t="shared" si="11"/>
        <v>7269938</v>
      </c>
      <c r="G45" s="316">
        <f t="shared" si="11"/>
        <v>865321</v>
      </c>
      <c r="H45" s="316">
        <f t="shared" si="11"/>
        <v>32704</v>
      </c>
      <c r="I45" s="316">
        <f>IFERROR(SUM(I46:I47),0)</f>
        <v>11341407</v>
      </c>
      <c r="J45" s="316">
        <f t="shared" ref="J45" si="12">SUM(J46:J47)</f>
        <v>-555112</v>
      </c>
      <c r="K45" s="316">
        <f>IFERROR(I45+J45,0)</f>
        <v>10786295</v>
      </c>
    </row>
    <row r="46" spans="2:11" ht="20.149999999999999" customHeight="1" x14ac:dyDescent="0.35">
      <c r="B46" s="6" t="s">
        <v>224</v>
      </c>
      <c r="C46" s="25">
        <v>401582</v>
      </c>
      <c r="D46" s="25">
        <v>143006</v>
      </c>
      <c r="E46" s="25">
        <v>0</v>
      </c>
      <c r="F46" s="25">
        <v>10524</v>
      </c>
      <c r="G46" s="25">
        <v>0</v>
      </c>
      <c r="H46" s="25">
        <v>0</v>
      </c>
      <c r="I46" s="25">
        <f>SUM(C46:H46)</f>
        <v>555112</v>
      </c>
      <c r="J46" s="25">
        <v>-555112</v>
      </c>
      <c r="K46" s="25">
        <f>IFERROR(I46+J46,0)</f>
        <v>0</v>
      </c>
    </row>
    <row r="47" spans="2:11" ht="20.149999999999999" customHeight="1" x14ac:dyDescent="0.35">
      <c r="B47" s="6" t="s">
        <v>225</v>
      </c>
      <c r="C47" s="25">
        <v>412000</v>
      </c>
      <c r="D47" s="25">
        <v>240787</v>
      </c>
      <c r="E47" s="25">
        <v>1976069</v>
      </c>
      <c r="F47" s="25">
        <v>7259414</v>
      </c>
      <c r="G47" s="25">
        <v>865321</v>
      </c>
      <c r="H47" s="25">
        <v>32704</v>
      </c>
      <c r="I47" s="25">
        <f>SUM(C47:H47)</f>
        <v>10786295</v>
      </c>
      <c r="J47" s="25">
        <v>0</v>
      </c>
      <c r="K47" s="25">
        <f>IFERROR(I47+J47,0)</f>
        <v>10786295</v>
      </c>
    </row>
    <row r="48" spans="2:11" ht="18" customHeight="1" x14ac:dyDescent="0.35">
      <c r="B48" s="216"/>
      <c r="C48" s="25"/>
      <c r="D48" s="25"/>
      <c r="E48" s="25"/>
      <c r="F48" s="25"/>
      <c r="G48" s="25"/>
      <c r="H48" s="25"/>
      <c r="I48" s="25"/>
      <c r="J48" s="25"/>
      <c r="K48" s="25"/>
    </row>
    <row r="49" spans="2:11" ht="25" customHeight="1" x14ac:dyDescent="0.35">
      <c r="B49" s="4" t="s">
        <v>226</v>
      </c>
      <c r="C49" s="316">
        <f>IFERROR(SUM(C50:C51),0)</f>
        <v>-147322</v>
      </c>
      <c r="D49" s="316">
        <f t="shared" ref="D49:H49" si="13">IFERROR(SUM(D50:D51),0)</f>
        <v>-115</v>
      </c>
      <c r="E49" s="316">
        <f t="shared" si="13"/>
        <v>-1950946</v>
      </c>
      <c r="F49" s="316">
        <f t="shared" si="13"/>
        <v>-3772388</v>
      </c>
      <c r="G49" s="316">
        <f t="shared" si="13"/>
        <v>-485097</v>
      </c>
      <c r="H49" s="316">
        <f t="shared" si="13"/>
        <v>604</v>
      </c>
      <c r="I49" s="316">
        <f>IFERROR(SUM(I50:I51),0)</f>
        <v>-6355264</v>
      </c>
      <c r="J49" s="316">
        <f t="shared" ref="J49" si="14">SUM(J50:J51)</f>
        <v>546149</v>
      </c>
      <c r="K49" s="316">
        <f>IFERROR(I49+J49,0)</f>
        <v>-5809115</v>
      </c>
    </row>
    <row r="50" spans="2:11" ht="20.149999999999999" customHeight="1" x14ac:dyDescent="0.35">
      <c r="B50" s="6" t="s">
        <v>224</v>
      </c>
      <c r="C50" s="25">
        <v>-9352</v>
      </c>
      <c r="D50" s="25">
        <v>-40</v>
      </c>
      <c r="E50" s="25">
        <v>-378529</v>
      </c>
      <c r="F50" s="25">
        <v>-157538</v>
      </c>
      <c r="G50" s="25">
        <v>0</v>
      </c>
      <c r="H50" s="25">
        <v>-690</v>
      </c>
      <c r="I50" s="25">
        <f>SUM(C50:H50)</f>
        <v>-546149</v>
      </c>
      <c r="J50" s="25">
        <v>546149</v>
      </c>
      <c r="K50" s="25">
        <f>IFERROR(I50+J50,0)</f>
        <v>0</v>
      </c>
    </row>
    <row r="51" spans="2:11" ht="20.149999999999999" customHeight="1" x14ac:dyDescent="0.35">
      <c r="B51" s="6" t="s">
        <v>225</v>
      </c>
      <c r="C51" s="25">
        <v>-137970</v>
      </c>
      <c r="D51" s="25">
        <v>-75</v>
      </c>
      <c r="E51" s="25">
        <v>-1572417</v>
      </c>
      <c r="F51" s="25">
        <v>-3614850</v>
      </c>
      <c r="G51" s="25">
        <v>-485097</v>
      </c>
      <c r="H51" s="25">
        <v>1294</v>
      </c>
      <c r="I51" s="25">
        <f>SUM(C51:H51)</f>
        <v>-5809115</v>
      </c>
      <c r="J51" s="25">
        <v>0</v>
      </c>
      <c r="K51" s="25">
        <f>IFERROR(I51+J51,0)</f>
        <v>-5809115</v>
      </c>
    </row>
    <row r="52" spans="2:11" ht="18" customHeight="1" x14ac:dyDescent="0.35">
      <c r="B52" s="216"/>
      <c r="C52" s="25"/>
      <c r="D52" s="25"/>
      <c r="E52" s="25"/>
      <c r="F52" s="25"/>
      <c r="G52" s="25"/>
      <c r="H52" s="25"/>
      <c r="I52" s="25"/>
      <c r="J52" s="25"/>
      <c r="K52" s="25"/>
    </row>
    <row r="53" spans="2:11" ht="25" customHeight="1" x14ac:dyDescent="0.35">
      <c r="B53" s="4" t="s">
        <v>227</v>
      </c>
      <c r="C53" s="316">
        <f>IFERROR(SUM(C54:C57,C60:C62),0)</f>
        <v>-196179</v>
      </c>
      <c r="D53" s="316">
        <f t="shared" ref="D53" si="15">IFERROR(SUM(D54:D57,D60:D62),0)</f>
        <v>-418075</v>
      </c>
      <c r="E53" s="316">
        <f t="shared" ref="E53" si="16">IFERROR(SUM(E54:E57,E60:E62),0)</f>
        <v>-12892</v>
      </c>
      <c r="F53" s="316">
        <f>IFERROR(SUM(F54:F57,F60:F62),0)</f>
        <v>-2510965</v>
      </c>
      <c r="G53" s="316">
        <f t="shared" ref="G53" si="17">IFERROR(SUM(G54:G57,G60:G62),0)</f>
        <v>-163697</v>
      </c>
      <c r="H53" s="316">
        <f t="shared" ref="H53" si="18">IFERROR(SUM(H54:H57,H60:H62),0)</f>
        <v>-71076</v>
      </c>
      <c r="I53" s="316">
        <f>IFERROR(SUM(I54:I57,I60:I62),0)</f>
        <v>-3372884</v>
      </c>
      <c r="J53" s="316">
        <f>IFERROR(SUM(J54:J57,J60:J62),0)</f>
        <v>8963</v>
      </c>
      <c r="K53" s="138">
        <f>IFERROR(I53+J53,0)</f>
        <v>-3363921</v>
      </c>
    </row>
    <row r="54" spans="2:11" ht="20.149999999999999" customHeight="1" x14ac:dyDescent="0.35">
      <c r="B54" s="36" t="s">
        <v>109</v>
      </c>
      <c r="C54" s="25">
        <v>-38924</v>
      </c>
      <c r="D54" s="25">
        <v>-41301</v>
      </c>
      <c r="E54" s="25">
        <v>-10963</v>
      </c>
      <c r="F54" s="25">
        <v>-264524</v>
      </c>
      <c r="G54" s="25">
        <v>-18197</v>
      </c>
      <c r="H54" s="25">
        <v>-14480</v>
      </c>
      <c r="I54" s="25">
        <f t="shared" ref="I54:I73" si="19">IFERROR(SUM(C54:H54),0)</f>
        <v>-388389</v>
      </c>
      <c r="J54" s="25">
        <v>0</v>
      </c>
      <c r="K54" s="25">
        <f t="shared" ref="K54:K64" si="20">IFERROR(I54+J54,0)</f>
        <v>-388389</v>
      </c>
    </row>
    <row r="55" spans="2:11" ht="20.149999999999999" customHeight="1" x14ac:dyDescent="0.35">
      <c r="B55" s="36" t="s">
        <v>75</v>
      </c>
      <c r="C55" s="25">
        <v>-4253</v>
      </c>
      <c r="D55" s="25">
        <v>-4483</v>
      </c>
      <c r="E55" s="25">
        <v>-2949</v>
      </c>
      <c r="F55" s="25">
        <v>-26214</v>
      </c>
      <c r="G55" s="25">
        <v>-2108</v>
      </c>
      <c r="H55" s="25">
        <v>-6017</v>
      </c>
      <c r="I55" s="25">
        <f t="shared" si="19"/>
        <v>-46024</v>
      </c>
      <c r="J55" s="25">
        <v>0</v>
      </c>
      <c r="K55" s="25">
        <f t="shared" si="20"/>
        <v>-46024</v>
      </c>
    </row>
    <row r="56" spans="2:11" ht="20.149999999999999" customHeight="1" x14ac:dyDescent="0.35">
      <c r="B56" s="36" t="s">
        <v>111</v>
      </c>
      <c r="C56" s="25">
        <v>-11460</v>
      </c>
      <c r="D56" s="25">
        <v>-7082</v>
      </c>
      <c r="E56" s="25">
        <v>-1623</v>
      </c>
      <c r="F56" s="25">
        <v>-70953</v>
      </c>
      <c r="G56" s="25">
        <v>0</v>
      </c>
      <c r="H56" s="25">
        <v>-18206</v>
      </c>
      <c r="I56" s="25">
        <f t="shared" si="19"/>
        <v>-109324</v>
      </c>
      <c r="J56" s="25">
        <v>0</v>
      </c>
      <c r="K56" s="25">
        <f t="shared" si="20"/>
        <v>-109324</v>
      </c>
    </row>
    <row r="57" spans="2:11" ht="20.149999999999999" customHeight="1" x14ac:dyDescent="0.35">
      <c r="B57" s="36" t="s">
        <v>228</v>
      </c>
      <c r="C57" s="25">
        <v>-59877</v>
      </c>
      <c r="D57" s="25">
        <v>-221747</v>
      </c>
      <c r="E57" s="25">
        <v>-8007</v>
      </c>
      <c r="F57" s="25">
        <v>-575743</v>
      </c>
      <c r="G57" s="25">
        <v>-26744</v>
      </c>
      <c r="H57" s="25">
        <v>-8042</v>
      </c>
      <c r="I57" s="25">
        <f t="shared" si="19"/>
        <v>-900160</v>
      </c>
      <c r="J57" s="25">
        <v>8963</v>
      </c>
      <c r="K57" s="25">
        <f t="shared" si="20"/>
        <v>-891197</v>
      </c>
    </row>
    <row r="58" spans="2:11" ht="20.149999999999999" customHeight="1" x14ac:dyDescent="0.35">
      <c r="B58" s="6" t="s">
        <v>224</v>
      </c>
      <c r="C58" s="25">
        <v>-7175</v>
      </c>
      <c r="D58" s="25">
        <v>-713</v>
      </c>
      <c r="E58" s="25">
        <v>0</v>
      </c>
      <c r="F58" s="25">
        <v>-1023</v>
      </c>
      <c r="G58" s="25">
        <v>-50</v>
      </c>
      <c r="H58" s="25">
        <v>-2</v>
      </c>
      <c r="I58" s="25">
        <f t="shared" si="19"/>
        <v>-8963</v>
      </c>
      <c r="J58" s="25">
        <v>8963</v>
      </c>
      <c r="K58" s="25">
        <f>IFERROR(I58+J58,0)</f>
        <v>0</v>
      </c>
    </row>
    <row r="59" spans="2:11" ht="20.149999999999999" customHeight="1" x14ac:dyDescent="0.35">
      <c r="B59" s="6" t="s">
        <v>225</v>
      </c>
      <c r="C59" s="25">
        <v>-52702</v>
      </c>
      <c r="D59" s="25">
        <v>-221034</v>
      </c>
      <c r="E59" s="25">
        <v>-8007</v>
      </c>
      <c r="F59" s="25">
        <v>-574720</v>
      </c>
      <c r="G59" s="25">
        <v>-26694</v>
      </c>
      <c r="H59" s="25">
        <v>-8040</v>
      </c>
      <c r="I59" s="25">
        <f t="shared" si="19"/>
        <v>-891197</v>
      </c>
      <c r="J59" s="25">
        <v>0</v>
      </c>
      <c r="K59" s="25">
        <f t="shared" si="20"/>
        <v>-891197</v>
      </c>
    </row>
    <row r="60" spans="2:11" ht="20.149999999999999" customHeight="1" x14ac:dyDescent="0.35">
      <c r="B60" s="36" t="s">
        <v>79</v>
      </c>
      <c r="C60" s="25">
        <v>-78044</v>
      </c>
      <c r="D60" s="25">
        <v>-4652</v>
      </c>
      <c r="E60" s="25">
        <v>-3</v>
      </c>
      <c r="F60" s="25">
        <v>-254372</v>
      </c>
      <c r="G60" s="25">
        <v>-25438</v>
      </c>
      <c r="H60" s="25">
        <v>-5884</v>
      </c>
      <c r="I60" s="25">
        <f t="shared" si="19"/>
        <v>-368393</v>
      </c>
      <c r="J60" s="25">
        <v>0</v>
      </c>
      <c r="K60" s="25">
        <f t="shared" si="20"/>
        <v>-368393</v>
      </c>
    </row>
    <row r="61" spans="2:11" ht="20.149999999999999" customHeight="1" x14ac:dyDescent="0.35">
      <c r="B61" s="36" t="s">
        <v>229</v>
      </c>
      <c r="C61" s="25">
        <v>-3621</v>
      </c>
      <c r="D61" s="25">
        <v>114</v>
      </c>
      <c r="E61" s="25">
        <v>10653</v>
      </c>
      <c r="F61" s="25">
        <v>-87455</v>
      </c>
      <c r="G61" s="25">
        <v>1533</v>
      </c>
      <c r="H61" s="25">
        <v>-18447</v>
      </c>
      <c r="I61" s="25">
        <f t="shared" si="19"/>
        <v>-97223</v>
      </c>
      <c r="J61" s="25">
        <v>0</v>
      </c>
      <c r="K61" s="25">
        <f t="shared" si="20"/>
        <v>-97223</v>
      </c>
    </row>
    <row r="62" spans="2:11" ht="20.149999999999999" customHeight="1" x14ac:dyDescent="0.35">
      <c r="B62" s="36" t="s">
        <v>73</v>
      </c>
      <c r="C62" s="25">
        <v>0</v>
      </c>
      <c r="D62" s="25">
        <v>-138924</v>
      </c>
      <c r="E62" s="25">
        <v>0</v>
      </c>
      <c r="F62" s="25">
        <v>-1231704</v>
      </c>
      <c r="G62" s="25">
        <v>-92743</v>
      </c>
      <c r="H62" s="25">
        <v>0</v>
      </c>
      <c r="I62" s="25">
        <f t="shared" si="19"/>
        <v>-1463371</v>
      </c>
      <c r="J62" s="25">
        <v>0</v>
      </c>
      <c r="K62" s="25">
        <f t="shared" si="20"/>
        <v>-1463371</v>
      </c>
    </row>
    <row r="63" spans="2:11" ht="18" customHeight="1" x14ac:dyDescent="0.35">
      <c r="B63" s="311"/>
      <c r="C63" s="313"/>
      <c r="D63" s="313"/>
      <c r="E63" s="313"/>
      <c r="F63" s="313"/>
      <c r="G63" s="313"/>
      <c r="H63" s="313"/>
      <c r="I63" s="25"/>
      <c r="J63" s="313"/>
      <c r="K63" s="25">
        <f t="shared" si="20"/>
        <v>0</v>
      </c>
    </row>
    <row r="64" spans="2:11" ht="25" customHeight="1" x14ac:dyDescent="0.35">
      <c r="B64" s="4" t="s">
        <v>829</v>
      </c>
      <c r="C64" s="428">
        <f>SUM(C53,C49)</f>
        <v>-343501</v>
      </c>
      <c r="D64" s="428">
        <f t="shared" ref="D64:H64" si="21">SUM(D53,D49)</f>
        <v>-418190</v>
      </c>
      <c r="E64" s="428">
        <f t="shared" si="21"/>
        <v>-1963838</v>
      </c>
      <c r="F64" s="428">
        <f t="shared" si="21"/>
        <v>-6283353</v>
      </c>
      <c r="G64" s="428">
        <f t="shared" si="21"/>
        <v>-648794</v>
      </c>
      <c r="H64" s="428">
        <f t="shared" si="21"/>
        <v>-70472</v>
      </c>
      <c r="I64" s="428">
        <f>SUM(I53,I49)</f>
        <v>-9728148</v>
      </c>
      <c r="J64" s="428">
        <f>SUM(J53,J49)</f>
        <v>555112</v>
      </c>
      <c r="K64" s="316">
        <f t="shared" si="20"/>
        <v>-9173036</v>
      </c>
    </row>
    <row r="65" spans="2:11" ht="18" customHeight="1" x14ac:dyDescent="0.35">
      <c r="B65" s="308"/>
      <c r="C65" s="314"/>
      <c r="D65" s="314"/>
      <c r="E65" s="314"/>
      <c r="F65" s="314"/>
      <c r="G65" s="314"/>
      <c r="H65" s="314"/>
      <c r="I65" s="25"/>
      <c r="J65" s="314"/>
      <c r="K65" s="25"/>
    </row>
    <row r="66" spans="2:11" ht="25" customHeight="1" x14ac:dyDescent="0.35">
      <c r="B66" s="309" t="s">
        <v>8</v>
      </c>
      <c r="C66" s="314">
        <v>0</v>
      </c>
      <c r="D66" s="314">
        <v>0</v>
      </c>
      <c r="E66" s="314">
        <v>0</v>
      </c>
      <c r="F66" s="314">
        <v>0</v>
      </c>
      <c r="G66" s="314">
        <v>0</v>
      </c>
      <c r="H66" s="314">
        <v>77418</v>
      </c>
      <c r="I66" s="316">
        <f t="shared" ref="I66" si="22">IFERROR(SUM(C66:H66),0)</f>
        <v>77418</v>
      </c>
      <c r="J66" s="314">
        <v>0</v>
      </c>
      <c r="K66" s="316">
        <f t="shared" ref="K66" si="23">IFERROR(I66+J66,0)</f>
        <v>77418</v>
      </c>
    </row>
    <row r="67" spans="2:11" ht="18" customHeight="1" x14ac:dyDescent="0.35">
      <c r="B67" s="308"/>
      <c r="C67" s="314"/>
      <c r="D67" s="314"/>
      <c r="E67" s="314"/>
      <c r="F67" s="314"/>
      <c r="G67" s="314"/>
      <c r="H67" s="314"/>
      <c r="I67" s="25"/>
      <c r="J67" s="314"/>
      <c r="K67" s="25"/>
    </row>
    <row r="68" spans="2:11" ht="25" customHeight="1" x14ac:dyDescent="0.35">
      <c r="B68" s="309" t="s">
        <v>230</v>
      </c>
      <c r="C68" s="317">
        <f>IFERROR(SUM(C66,C64,C45),0)</f>
        <v>470081</v>
      </c>
      <c r="D68" s="317">
        <f t="shared" ref="D68:H68" si="24">IFERROR(SUM(D66,D64,D45),0)</f>
        <v>-34397</v>
      </c>
      <c r="E68" s="317">
        <f t="shared" si="24"/>
        <v>12231</v>
      </c>
      <c r="F68" s="317">
        <f t="shared" si="24"/>
        <v>986585</v>
      </c>
      <c r="G68" s="317">
        <f t="shared" si="24"/>
        <v>216527</v>
      </c>
      <c r="H68" s="317">
        <f t="shared" si="24"/>
        <v>39650</v>
      </c>
      <c r="I68" s="316">
        <f>IFERROR(SUM(C68:H68),0)</f>
        <v>1690677</v>
      </c>
      <c r="J68" s="314">
        <v>0</v>
      </c>
      <c r="K68" s="316">
        <f t="shared" ref="K68:K74" si="25">IFERROR(I68+J68,0)</f>
        <v>1690677</v>
      </c>
    </row>
    <row r="69" spans="2:11" ht="20.149999999999999" customHeight="1" x14ac:dyDescent="0.35">
      <c r="B69" s="310" t="s">
        <v>146</v>
      </c>
      <c r="C69" s="429">
        <v>11424</v>
      </c>
      <c r="D69" s="429">
        <v>-5137</v>
      </c>
      <c r="E69" s="429">
        <v>-9711</v>
      </c>
      <c r="F69" s="429">
        <v>-288644</v>
      </c>
      <c r="G69" s="429">
        <v>6058</v>
      </c>
      <c r="H69" s="429">
        <v>-26577</v>
      </c>
      <c r="I69" s="25">
        <f t="shared" si="19"/>
        <v>-312587</v>
      </c>
      <c r="J69" s="429">
        <v>0</v>
      </c>
      <c r="K69" s="25">
        <f t="shared" si="25"/>
        <v>-312587</v>
      </c>
    </row>
    <row r="70" spans="2:11" ht="25" customHeight="1" x14ac:dyDescent="0.35">
      <c r="B70" s="309" t="s">
        <v>231</v>
      </c>
      <c r="C70" s="317">
        <f>IFERROR(SUM(C68:C69),0)</f>
        <v>481505</v>
      </c>
      <c r="D70" s="317">
        <f t="shared" ref="D70:H70" si="26">IFERROR(SUM(D68:D69),0)</f>
        <v>-39534</v>
      </c>
      <c r="E70" s="317">
        <f t="shared" si="26"/>
        <v>2520</v>
      </c>
      <c r="F70" s="317">
        <f t="shared" si="26"/>
        <v>697941</v>
      </c>
      <c r="G70" s="317">
        <f t="shared" si="26"/>
        <v>222585</v>
      </c>
      <c r="H70" s="317">
        <f t="shared" si="26"/>
        <v>13073</v>
      </c>
      <c r="I70" s="316">
        <f t="shared" ref="I70:I72" si="27">IFERROR(SUM(C70:H70),0)</f>
        <v>1378090</v>
      </c>
      <c r="J70" s="314">
        <v>0</v>
      </c>
      <c r="K70" s="316">
        <f t="shared" si="25"/>
        <v>1378090</v>
      </c>
    </row>
    <row r="71" spans="2:11" ht="20.149999999999999" customHeight="1" x14ac:dyDescent="0.35">
      <c r="B71" s="310" t="s">
        <v>15</v>
      </c>
      <c r="C71" s="429">
        <v>-31781</v>
      </c>
      <c r="D71" s="429">
        <v>36693</v>
      </c>
      <c r="E71" s="429">
        <v>3961</v>
      </c>
      <c r="F71" s="429">
        <v>-147391</v>
      </c>
      <c r="G71" s="429">
        <v>-71765</v>
      </c>
      <c r="H71" s="429">
        <v>20474</v>
      </c>
      <c r="I71" s="25">
        <f t="shared" si="19"/>
        <v>-189809</v>
      </c>
      <c r="J71" s="429">
        <v>0</v>
      </c>
      <c r="K71" s="25">
        <f t="shared" si="25"/>
        <v>-189809</v>
      </c>
    </row>
    <row r="72" spans="2:11" ht="25" customHeight="1" x14ac:dyDescent="0.35">
      <c r="B72" s="309" t="s">
        <v>232</v>
      </c>
      <c r="C72" s="317">
        <f>IFERROR(SUM(C70:C71),0)</f>
        <v>449724</v>
      </c>
      <c r="D72" s="317">
        <f t="shared" ref="D72:H72" si="28">IFERROR(SUM(D70:D71),0)</f>
        <v>-2841</v>
      </c>
      <c r="E72" s="317">
        <f t="shared" si="28"/>
        <v>6481</v>
      </c>
      <c r="F72" s="317">
        <f t="shared" si="28"/>
        <v>550550</v>
      </c>
      <c r="G72" s="317">
        <f t="shared" si="28"/>
        <v>150820</v>
      </c>
      <c r="H72" s="317">
        <f t="shared" si="28"/>
        <v>33547</v>
      </c>
      <c r="I72" s="316">
        <f t="shared" si="27"/>
        <v>1188281</v>
      </c>
      <c r="J72" s="314">
        <v>0</v>
      </c>
      <c r="K72" s="316">
        <f t="shared" si="25"/>
        <v>1188281</v>
      </c>
    </row>
    <row r="73" spans="2:11" ht="20.149999999999999" customHeight="1" x14ac:dyDescent="0.35">
      <c r="B73" s="310" t="s">
        <v>18</v>
      </c>
      <c r="C73" s="429">
        <v>449724</v>
      </c>
      <c r="D73" s="429">
        <v>-2841</v>
      </c>
      <c r="E73" s="429">
        <v>6481</v>
      </c>
      <c r="F73" s="429">
        <v>550550</v>
      </c>
      <c r="G73" s="429">
        <v>150172</v>
      </c>
      <c r="H73" s="429">
        <v>33547</v>
      </c>
      <c r="I73" s="25">
        <f t="shared" si="19"/>
        <v>1187633</v>
      </c>
      <c r="J73" s="429">
        <v>0</v>
      </c>
      <c r="K73" s="25">
        <f t="shared" si="25"/>
        <v>1187633</v>
      </c>
    </row>
    <row r="74" spans="2:11" ht="20.149999999999999" customHeight="1" thickBot="1" x14ac:dyDescent="0.4">
      <c r="B74" s="312" t="s">
        <v>19</v>
      </c>
      <c r="C74" s="318">
        <v>0</v>
      </c>
      <c r="D74" s="318">
        <v>0</v>
      </c>
      <c r="E74" s="318">
        <v>0</v>
      </c>
      <c r="F74" s="318">
        <v>0</v>
      </c>
      <c r="G74" s="318">
        <v>648</v>
      </c>
      <c r="H74" s="318">
        <v>0</v>
      </c>
      <c r="I74" s="318">
        <f>IFERROR(SUM(C74:H74),0)</f>
        <v>648</v>
      </c>
      <c r="J74" s="315">
        <v>0</v>
      </c>
      <c r="K74" s="318">
        <f t="shared" si="25"/>
        <v>648</v>
      </c>
    </row>
  </sheetData>
  <mergeCells count="15">
    <mergeCell ref="K7:K8"/>
    <mergeCell ref="B5:K5"/>
    <mergeCell ref="C7:F7"/>
    <mergeCell ref="B7:B8"/>
    <mergeCell ref="G7:G8"/>
    <mergeCell ref="H7:H8"/>
    <mergeCell ref="I7:I8"/>
    <mergeCell ref="J7:J8"/>
    <mergeCell ref="K43:K44"/>
    <mergeCell ref="B43:B44"/>
    <mergeCell ref="C43:F43"/>
    <mergeCell ref="G43:G44"/>
    <mergeCell ref="H43:H44"/>
    <mergeCell ref="I43:I44"/>
    <mergeCell ref="J43:J44"/>
  </mergeCells>
  <phoneticPr fontId="12" type="noConversion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B839-8DBB-40B6-AE70-BBE01B90D747}">
  <sheetPr codeName="Planilha32">
    <tabColor rgb="FF17772E"/>
  </sheetPr>
  <dimension ref="B4:CO2052"/>
  <sheetViews>
    <sheetView showGridLines="0" zoomScaleNormal="100" workbookViewId="0">
      <selection activeCell="B9" sqref="B9"/>
    </sheetView>
  </sheetViews>
  <sheetFormatPr defaultColWidth="8.7265625" defaultRowHeight="19" customHeight="1" x14ac:dyDescent="0.35"/>
  <cols>
    <col min="1" max="1" width="2.54296875" style="1" customWidth="1"/>
    <col min="2" max="2" width="72.1796875" style="1" customWidth="1"/>
    <col min="3" max="5" width="14.54296875" style="1" customWidth="1"/>
    <col min="6" max="6" width="5.7265625" style="1" customWidth="1"/>
    <col min="7" max="7" width="60.54296875" style="1" bestFit="1" customWidth="1"/>
    <col min="8" max="10" width="14.54296875" style="1" customWidth="1"/>
    <col min="11" max="14" width="8.7265625" style="1"/>
    <col min="15" max="15" width="8.7265625" style="1" bestFit="1"/>
    <col min="16" max="61" width="8.7265625" style="1"/>
    <col min="62" max="62" width="8.7265625" style="1" customWidth="1"/>
    <col min="63" max="63" width="7.26953125" style="1" hidden="1" customWidth="1"/>
    <col min="64" max="64" width="9.1796875" style="1" customWidth="1"/>
    <col min="65" max="65" width="9.1796875" style="34" customWidth="1"/>
    <col min="66" max="66" width="5.453125" style="1" customWidth="1"/>
    <col min="67" max="67" width="72.54296875" style="1" customWidth="1"/>
    <col min="68" max="69" width="20.54296875" style="1" customWidth="1"/>
    <col min="70" max="93" width="15.54296875" style="1" customWidth="1"/>
    <col min="94" max="111" width="12.54296875" style="1" bestFit="1" customWidth="1"/>
    <col min="112" max="16384" width="8.7265625" style="1"/>
  </cols>
  <sheetData>
    <row r="4" spans="2:65" s="135" customFormat="1" ht="45" customHeight="1" x14ac:dyDescent="0.35">
      <c r="B4" s="481" t="s">
        <v>233</v>
      </c>
      <c r="C4" s="481"/>
      <c r="D4" s="481"/>
      <c r="E4" s="481"/>
      <c r="F4" s="481"/>
      <c r="G4" s="481"/>
      <c r="H4" s="481"/>
      <c r="I4" s="481"/>
      <c r="J4" s="481"/>
      <c r="BM4" s="394"/>
    </row>
    <row r="5" spans="2:65" ht="10" customHeight="1" x14ac:dyDescent="0.35">
      <c r="B5" s="29"/>
      <c r="C5" s="29"/>
      <c r="D5" s="29"/>
      <c r="E5" s="29"/>
      <c r="F5" s="29"/>
      <c r="G5" s="29"/>
      <c r="H5" s="29"/>
      <c r="I5" s="134"/>
      <c r="J5" s="134"/>
    </row>
    <row r="6" spans="2:65" ht="40" customHeight="1" x14ac:dyDescent="0.35">
      <c r="B6" s="112" t="s">
        <v>1</v>
      </c>
      <c r="C6" s="117"/>
      <c r="D6" s="117"/>
      <c r="E6" s="117"/>
      <c r="F6" s="117"/>
      <c r="G6" s="117"/>
      <c r="H6" s="117"/>
      <c r="I6" s="482" t="s">
        <v>246</v>
      </c>
      <c r="J6" s="482"/>
    </row>
    <row r="7" spans="2:65" ht="15" customHeight="1" x14ac:dyDescent="0.35">
      <c r="B7" s="29"/>
      <c r="C7" s="29"/>
      <c r="D7" s="29"/>
      <c r="E7" s="40" t="s">
        <v>25</v>
      </c>
      <c r="F7" s="29"/>
      <c r="G7" s="29"/>
      <c r="H7" s="29"/>
      <c r="I7" s="29"/>
      <c r="J7" s="40" t="s">
        <v>25</v>
      </c>
    </row>
    <row r="8" spans="2:65" ht="35.15" customHeight="1" x14ac:dyDescent="0.35">
      <c r="B8" s="169" t="s">
        <v>235</v>
      </c>
      <c r="C8" s="166" t="str">
        <f>IFERROR(I6,"")</f>
        <v>jun | 2026</v>
      </c>
      <c r="D8" s="166" t="str">
        <f>_xlfn.CONCAT("dez"," | ",MID($I$6,7,4)-1)</f>
        <v>dez | 2025</v>
      </c>
      <c r="E8" s="166" t="s">
        <v>5</v>
      </c>
      <c r="F8" s="14"/>
      <c r="G8" s="169" t="s">
        <v>236</v>
      </c>
      <c r="H8" s="166" t="str">
        <f>IFERROR(I6,"")</f>
        <v>jun | 2026</v>
      </c>
      <c r="I8" s="166" t="str">
        <f>_xlfn.CONCAT("dez"," | ",MID($I$6,7,4)-1)</f>
        <v>dez | 2025</v>
      </c>
      <c r="J8" s="166" t="s">
        <v>5</v>
      </c>
    </row>
    <row r="9" spans="2:65" ht="23.15" customHeight="1" x14ac:dyDescent="0.35">
      <c r="B9" s="42" t="s">
        <v>237</v>
      </c>
      <c r="C9" s="43">
        <f>IFERROR(SUM(C10:C23),0)</f>
        <v>15720485</v>
      </c>
      <c r="D9" s="43">
        <f>SUM(D10:D23)</f>
        <v>14479788</v>
      </c>
      <c r="E9" s="47">
        <f>IFERROR(((C9/D9)-1)*100,0)</f>
        <v>8.5684748975606517</v>
      </c>
      <c r="F9" s="9"/>
      <c r="G9" s="17" t="s">
        <v>237</v>
      </c>
      <c r="H9" s="24">
        <f>IFERROR(SUM(H10:H27),0)</f>
        <v>13463402</v>
      </c>
      <c r="I9" s="24">
        <f>IFERROR(SUM(I10:I27),0)</f>
        <v>14462505</v>
      </c>
      <c r="J9" s="63">
        <f>IFERROR(((H9/I9)-1)*100,0)</f>
        <v>-6.9082292452102845</v>
      </c>
    </row>
    <row r="10" spans="2:65" ht="19" customHeight="1" x14ac:dyDescent="0.35">
      <c r="B10" s="5" t="str">
        <f t="shared" ref="B10:B21" si="0">BO207</f>
        <v>Caixa e equivalentes de caixa</v>
      </c>
      <c r="C10" s="21">
        <f t="shared" ref="C10:C23" si="1" xml:space="preserve">
IFERROR(
INDEX($BO$206:$FQ$602,
MATCH(
_xlfn.CONCAT($B$6,"|",$B$8,"|",$B$9,"|",B10),
$BK$206:$BK$602,0),
MATCH(
$C$8,
$BO$205:$FQ$205,0)
),0)</f>
        <v>2162396</v>
      </c>
      <c r="D10" s="21">
        <f t="shared" ref="D10:D23" si="2" xml:space="preserve">
IFERROR(
INDEX($BO$206:$FQ$602,
MATCH(
_xlfn.CONCAT($B$6,"|",$B$8,"|",$B$9,"|",B10),
$BK$206:$BK$602,0),
MATCH($D$8,
$BO$205:$FQ$205,0)
),0)</f>
        <v>1901636</v>
      </c>
      <c r="E10" s="59">
        <f>IFERROR(((C10/D10)-1)*100,0)</f>
        <v>13.712403425261188</v>
      </c>
      <c r="F10" s="10"/>
      <c r="G10" s="6" t="str">
        <f t="shared" ref="G10:G16" si="3">BO243</f>
        <v>Fornecedores</v>
      </c>
      <c r="H10" s="25">
        <f t="shared" ref="H10:H27" si="4" xml:space="preserve">
IFERROR(
INDEX($BO$206:$FQ$602,
MATCH(
_xlfn.CONCAT($B$6,"|",$G$8,"|",$G$9,"|",G10),
$BK$206:$BK$602,0),
MATCH(
$H$8,
$BO$205:$FQ$205,0)
),0)</f>
        <v>3143900</v>
      </c>
      <c r="I10" s="25">
        <f t="shared" ref="I10:I27" si="5" xml:space="preserve">
IFERROR(
INDEX($BO$206:$FQ$602,
MATCH(
_xlfn.CONCAT($B$6,"|",$G$8,"|",$G$9,"|",G10),
$BK$206:$BK$602,0),
MATCH(
$I$8,
$BO$205:$FQ$205,0)
),0)</f>
        <v>3039004</v>
      </c>
      <c r="J10" s="33">
        <f>IFERROR(((H10/I10)-1)*100,0)</f>
        <v>3.4516571876838542</v>
      </c>
    </row>
    <row r="11" spans="2:65" ht="19" customHeight="1" x14ac:dyDescent="0.35">
      <c r="B11" s="5" t="str">
        <f t="shared" si="0"/>
        <v>Títulos e valores mobiliários</v>
      </c>
      <c r="C11" s="21">
        <f t="shared" si="1"/>
        <v>919713</v>
      </c>
      <c r="D11" s="21">
        <f t="shared" si="2"/>
        <v>759702</v>
      </c>
      <c r="E11" s="59">
        <f t="shared" ref="E11:E16" si="6">IFERROR(((C11/D11)-1)*100,0)</f>
        <v>21.062337600796099</v>
      </c>
      <c r="F11" s="10"/>
      <c r="G11" s="6" t="str">
        <f t="shared" si="3"/>
        <v>Encargos regulatórios</v>
      </c>
      <c r="H11" s="25">
        <f t="shared" si="4"/>
        <v>408670</v>
      </c>
      <c r="I11" s="25">
        <f t="shared" si="5"/>
        <v>441269</v>
      </c>
      <c r="J11" s="33">
        <f t="shared" ref="J11:J26" si="7">IFERROR(((H11/I11)-1)*100,0)</f>
        <v>-7.3875572496595048</v>
      </c>
    </row>
    <row r="12" spans="2:65" ht="19" customHeight="1" x14ac:dyDescent="0.35">
      <c r="B12" s="5" t="str">
        <f t="shared" si="0"/>
        <v>Consumidores, revendedores e concessionários de transporte de energia</v>
      </c>
      <c r="C12" s="21">
        <f t="shared" si="1"/>
        <v>6000046</v>
      </c>
      <c r="D12" s="21">
        <f t="shared" si="2"/>
        <v>5795113</v>
      </c>
      <c r="E12" s="59">
        <f t="shared" si="6"/>
        <v>3.5363072299021692</v>
      </c>
      <c r="F12" s="10"/>
      <c r="G12" s="6" t="str">
        <f t="shared" si="3"/>
        <v>Participação dos empregados e administradores no resultado</v>
      </c>
      <c r="H12" s="25">
        <f t="shared" si="4"/>
        <v>97330</v>
      </c>
      <c r="I12" s="25">
        <f t="shared" si="5"/>
        <v>136100</v>
      </c>
      <c r="J12" s="33">
        <f t="shared" si="7"/>
        <v>-28.486407053637031</v>
      </c>
    </row>
    <row r="13" spans="2:65" ht="19" customHeight="1" x14ac:dyDescent="0.35">
      <c r="B13" s="5" t="str">
        <f t="shared" si="0"/>
        <v>Ativos financeiros e setoriais da concessão</v>
      </c>
      <c r="C13" s="21">
        <f t="shared" si="1"/>
        <v>2232857</v>
      </c>
      <c r="D13" s="21">
        <f t="shared" si="2"/>
        <v>1675291</v>
      </c>
      <c r="E13" s="59">
        <f t="shared" si="6"/>
        <v>33.281740306609422</v>
      </c>
      <c r="F13" s="10"/>
      <c r="G13" s="6" t="str">
        <f t="shared" si="3"/>
        <v>Impostos, taxas e contribuições</v>
      </c>
      <c r="H13" s="25">
        <f t="shared" si="4"/>
        <v>747103</v>
      </c>
      <c r="I13" s="25">
        <f t="shared" si="5"/>
        <v>745945</v>
      </c>
      <c r="J13" s="33">
        <f t="shared" si="7"/>
        <v>0.15523932729624157</v>
      </c>
    </row>
    <row r="14" spans="2:65" ht="19" customHeight="1" x14ac:dyDescent="0.35">
      <c r="B14" s="5" t="str">
        <f t="shared" si="0"/>
        <v>Ativos de contrato</v>
      </c>
      <c r="C14" s="21">
        <f t="shared" si="1"/>
        <v>1296550</v>
      </c>
      <c r="D14" s="21">
        <f t="shared" si="2"/>
        <v>1115452</v>
      </c>
      <c r="E14" s="59">
        <f t="shared" si="6"/>
        <v>16.235391572205703</v>
      </c>
      <c r="F14" s="10"/>
      <c r="G14" s="6" t="str">
        <f t="shared" si="3"/>
        <v>Imposto de renda e contribuição social</v>
      </c>
      <c r="H14" s="25">
        <f t="shared" si="4"/>
        <v>64671</v>
      </c>
      <c r="I14" s="25">
        <f t="shared" si="5"/>
        <v>133299</v>
      </c>
      <c r="J14" s="33">
        <f t="shared" si="7"/>
        <v>-51.484257196228022</v>
      </c>
    </row>
    <row r="15" spans="2:65" ht="19" customHeight="1" x14ac:dyDescent="0.35">
      <c r="B15" s="5" t="str">
        <f t="shared" si="0"/>
        <v>Tributos a recuperar</v>
      </c>
      <c r="C15" s="21">
        <f t="shared" si="1"/>
        <v>695997</v>
      </c>
      <c r="D15" s="21">
        <f t="shared" si="2"/>
        <v>580004</v>
      </c>
      <c r="E15" s="59">
        <f t="shared" si="6"/>
        <v>19.998655181688395</v>
      </c>
      <c r="F15" s="10"/>
      <c r="G15" s="6" t="str">
        <f t="shared" si="3"/>
        <v>Juros sobre capital próprio e dividendos a pagar</v>
      </c>
      <c r="H15" s="25">
        <f t="shared" si="4"/>
        <v>2668464</v>
      </c>
      <c r="I15" s="25">
        <f t="shared" si="5"/>
        <v>2928378</v>
      </c>
      <c r="J15" s="33">
        <f t="shared" si="7"/>
        <v>-8.8756984241788466</v>
      </c>
    </row>
    <row r="16" spans="2:65" ht="19" customHeight="1" x14ac:dyDescent="0.35">
      <c r="B16" s="5" t="str">
        <f t="shared" si="0"/>
        <v>Imposto de renda e contribuição social a recuperar</v>
      </c>
      <c r="C16" s="21">
        <f t="shared" si="1"/>
        <v>292293</v>
      </c>
      <c r="D16" s="21">
        <f t="shared" si="2"/>
        <v>396698</v>
      </c>
      <c r="E16" s="59">
        <f t="shared" si="6"/>
        <v>-26.318509294223812</v>
      </c>
      <c r="F16" s="10"/>
      <c r="G16" s="6" t="str">
        <f t="shared" si="3"/>
        <v>Debêntures</v>
      </c>
      <c r="H16" s="25">
        <f t="shared" si="4"/>
        <v>1519180</v>
      </c>
      <c r="I16" s="25">
        <f t="shared" si="5"/>
        <v>3051643</v>
      </c>
      <c r="J16" s="33">
        <f t="shared" si="7"/>
        <v>-50.217636859881708</v>
      </c>
    </row>
    <row r="17" spans="2:10" ht="19" customHeight="1" x14ac:dyDescent="0.35">
      <c r="B17" s="5" t="str">
        <f t="shared" si="0"/>
        <v>Instrumentos financeiros derivativos</v>
      </c>
      <c r="C17" s="21">
        <f t="shared" si="1"/>
        <v>0</v>
      </c>
      <c r="D17" s="21">
        <f t="shared" si="2"/>
        <v>0</v>
      </c>
      <c r="E17" s="59">
        <f t="shared" ref="E17:E42" si="8">IFERROR(((C17/D17)-1)*100,0)</f>
        <v>0</v>
      </c>
      <c r="F17" s="10"/>
      <c r="G17" s="6" t="str">
        <f t="shared" ref="G17:G27" si="9">BO250</f>
        <v>Salários e contribuições sociais</v>
      </c>
      <c r="H17" s="25">
        <f t="shared" si="4"/>
        <v>282121</v>
      </c>
      <c r="I17" s="25">
        <f t="shared" si="5"/>
        <v>229611</v>
      </c>
      <c r="J17" s="33">
        <f t="shared" si="7"/>
        <v>22.869113413555976</v>
      </c>
    </row>
    <row r="18" spans="2:10" ht="19" customHeight="1" x14ac:dyDescent="0.35">
      <c r="B18" s="5" t="str">
        <f t="shared" si="0"/>
        <v>Dividendos a receber</v>
      </c>
      <c r="C18" s="21">
        <f t="shared" si="1"/>
        <v>38280</v>
      </c>
      <c r="D18" s="21">
        <f t="shared" si="2"/>
        <v>80677</v>
      </c>
      <c r="E18" s="59">
        <f t="shared" si="8"/>
        <v>-52.551532654907838</v>
      </c>
      <c r="F18" s="10"/>
      <c r="G18" s="6" t="str">
        <f t="shared" si="9"/>
        <v>Contribuição de iluminação pública</v>
      </c>
      <c r="H18" s="25">
        <f t="shared" si="4"/>
        <v>533029</v>
      </c>
      <c r="I18" s="25">
        <f t="shared" si="5"/>
        <v>542704</v>
      </c>
      <c r="J18" s="33">
        <f t="shared" si="7"/>
        <v>-1.782739762375074</v>
      </c>
    </row>
    <row r="19" spans="2:10" ht="19" customHeight="1" x14ac:dyDescent="0.35">
      <c r="B19" s="5" t="str">
        <f t="shared" si="0"/>
        <v>Fundos vinculados</v>
      </c>
      <c r="C19" s="21">
        <f t="shared" si="1"/>
        <v>57964</v>
      </c>
      <c r="D19" s="21">
        <f t="shared" si="2"/>
        <v>239558</v>
      </c>
      <c r="E19" s="59">
        <f t="shared" si="8"/>
        <v>-75.803771946668448</v>
      </c>
      <c r="F19" s="10"/>
      <c r="G19" s="6" t="str">
        <f t="shared" si="9"/>
        <v>Obrigações relacionadas a energia gerada por consumidores</v>
      </c>
      <c r="H19" s="25">
        <f t="shared" si="4"/>
        <v>1942669</v>
      </c>
      <c r="I19" s="25">
        <f t="shared" si="5"/>
        <v>1825274</v>
      </c>
      <c r="J19" s="33">
        <f t="shared" si="7"/>
        <v>6.4316371131128758</v>
      </c>
    </row>
    <row r="20" spans="2:10" ht="19" customHeight="1" x14ac:dyDescent="0.35">
      <c r="B20" s="5" t="str">
        <f t="shared" si="0"/>
        <v>Contribuição de iluminação pública</v>
      </c>
      <c r="C20" s="21">
        <f t="shared" si="1"/>
        <v>342244</v>
      </c>
      <c r="D20" s="21">
        <f t="shared" si="2"/>
        <v>340645</v>
      </c>
      <c r="E20" s="59">
        <f t="shared" si="8"/>
        <v>0.46940363134642116</v>
      </c>
      <c r="F20" s="10"/>
      <c r="G20" s="6" t="str">
        <f t="shared" si="9"/>
        <v>Obrigações Pós-emprego</v>
      </c>
      <c r="H20" s="25">
        <f t="shared" si="4"/>
        <v>155096</v>
      </c>
      <c r="I20" s="25">
        <f t="shared" si="5"/>
        <v>130155</v>
      </c>
      <c r="J20" s="33">
        <f t="shared" si="7"/>
        <v>19.162536975145027</v>
      </c>
    </row>
    <row r="21" spans="2:10" ht="19" customHeight="1" x14ac:dyDescent="0.35">
      <c r="B21" s="5" t="str">
        <f t="shared" si="0"/>
        <v>Reembolso subsídios tarifários</v>
      </c>
      <c r="C21" s="21">
        <f t="shared" si="1"/>
        <v>663620</v>
      </c>
      <c r="D21" s="21">
        <f t="shared" si="2"/>
        <v>616328</v>
      </c>
      <c r="E21" s="59">
        <f t="shared" si="8"/>
        <v>7.6731870043223793</v>
      </c>
      <c r="F21" s="10"/>
      <c r="G21" s="6" t="str">
        <f t="shared" si="9"/>
        <v>Indenização Compensatória</v>
      </c>
      <c r="H21" s="25">
        <f t="shared" si="4"/>
        <v>208337</v>
      </c>
      <c r="I21" s="25">
        <f t="shared" si="5"/>
        <v>417705</v>
      </c>
      <c r="J21" s="33">
        <f t="shared" si="7"/>
        <v>-50.123412456159258</v>
      </c>
    </row>
    <row r="22" spans="2:10" ht="19" customHeight="1" x14ac:dyDescent="0.35">
      <c r="B22" s="5" t="str">
        <f>BO219</f>
        <v>Ativos classificados como mantidos para venda</v>
      </c>
      <c r="C22" s="21">
        <f t="shared" si="1"/>
        <v>0</v>
      </c>
      <c r="D22" s="21">
        <f t="shared" si="2"/>
        <v>0</v>
      </c>
      <c r="E22" s="59">
        <f t="shared" si="8"/>
        <v>0</v>
      </c>
      <c r="F22" s="10"/>
      <c r="G22" s="6" t="str">
        <f t="shared" si="9"/>
        <v>Passivo financeiro da concessão</v>
      </c>
      <c r="H22" s="25">
        <f t="shared" si="4"/>
        <v>0</v>
      </c>
      <c r="I22" s="25">
        <f t="shared" si="5"/>
        <v>0</v>
      </c>
      <c r="J22" s="33">
        <f t="shared" si="7"/>
        <v>0</v>
      </c>
    </row>
    <row r="23" spans="2:10" ht="19" customHeight="1" x14ac:dyDescent="0.35">
      <c r="B23" s="5" t="str">
        <f>BO220</f>
        <v>Outros ativos</v>
      </c>
      <c r="C23" s="21">
        <f t="shared" si="1"/>
        <v>1018525</v>
      </c>
      <c r="D23" s="21">
        <f t="shared" si="2"/>
        <v>978684</v>
      </c>
      <c r="E23" s="59">
        <f t="shared" si="8"/>
        <v>4.0708747665232137</v>
      </c>
      <c r="F23" s="11"/>
      <c r="G23" s="6" t="str">
        <f t="shared" si="9"/>
        <v>Valores a restituir a consumidores</v>
      </c>
      <c r="H23" s="25">
        <f t="shared" si="4"/>
        <v>340800</v>
      </c>
      <c r="I23" s="25">
        <f t="shared" si="5"/>
        <v>340800</v>
      </c>
      <c r="J23" s="33">
        <f t="shared" si="7"/>
        <v>0</v>
      </c>
    </row>
    <row r="24" spans="2:10" ht="25" customHeight="1" x14ac:dyDescent="0.35">
      <c r="B24" s="4" t="s">
        <v>238</v>
      </c>
      <c r="C24" s="22">
        <f>IFERROR(SUM(C25,C38:C41),0)</f>
        <v>55140764</v>
      </c>
      <c r="D24" s="22">
        <f>IFERROR(SUM(D25,D38:D41),0)</f>
        <v>52548288</v>
      </c>
      <c r="E24" s="61">
        <f t="shared" si="8"/>
        <v>4.9335118205944273</v>
      </c>
      <c r="F24" s="12"/>
      <c r="G24" s="6" t="str">
        <f t="shared" si="9"/>
        <v>Instrumentos financeiros derivativos</v>
      </c>
      <c r="H24" s="25">
        <f t="shared" si="4"/>
        <v>87526</v>
      </c>
      <c r="I24" s="25">
        <f t="shared" si="5"/>
        <v>0</v>
      </c>
      <c r="J24" s="33">
        <f t="shared" si="7"/>
        <v>0</v>
      </c>
    </row>
    <row r="25" spans="2:10" ht="20.149999999999999" customHeight="1" x14ac:dyDescent="0.35">
      <c r="B25" s="7" t="s">
        <v>239</v>
      </c>
      <c r="C25" s="23">
        <f>IFERROR(SUM(C26:C37),0)</f>
        <v>27693144</v>
      </c>
      <c r="D25" s="23">
        <f>IFERROR(SUM(D26:D37),0)</f>
        <v>26381494</v>
      </c>
      <c r="E25" s="60">
        <f t="shared" si="8"/>
        <v>4.9718564081321581</v>
      </c>
      <c r="F25" s="10"/>
      <c r="G25" s="6" t="str">
        <f t="shared" si="9"/>
        <v>Antecipação CDE</v>
      </c>
      <c r="H25" s="25">
        <f t="shared" si="4"/>
        <v>709761</v>
      </c>
      <c r="I25" s="25">
        <f t="shared" si="5"/>
        <v>0</v>
      </c>
      <c r="J25" s="33">
        <f t="shared" si="7"/>
        <v>0</v>
      </c>
    </row>
    <row r="26" spans="2:10" ht="19" customHeight="1" x14ac:dyDescent="0.35">
      <c r="B26" s="6" t="str">
        <f t="shared" ref="B26:B41" si="10">BO223</f>
        <v>Títulos e valores mobiliários</v>
      </c>
      <c r="C26" s="21">
        <f t="shared" ref="C26:C37" si="11" xml:space="preserve">
IFERROR(
INDEX($BO$206:$FQ$602,
MATCH(
_xlfn.CONCAT($B$6,"|",$B$8,"|",$B$24,"|",B26),
$BK$206:$BK$602,0),
MATCH(
$C$8,
$BO$205:$FQ$205,0)
),0)</f>
        <v>0</v>
      </c>
      <c r="D26" s="21">
        <f t="shared" ref="D26:D37" si="12" xml:space="preserve">
IFERROR(
INDEX($BO$206:$FQ$602,
MATCH(
_xlfn.CONCAT($B$6,"|",$B$8,"|",$B$24,"|",B26),
$BK$206:$BK$602,0),
MATCH($D$8,
$BO$205:$FQ$205,0)
),0)</f>
        <v>0</v>
      </c>
      <c r="E26" s="59">
        <f t="shared" si="8"/>
        <v>0</v>
      </c>
      <c r="F26" s="10"/>
      <c r="G26" s="6" t="str">
        <f t="shared" si="9"/>
        <v>Passivo de arrendamento</v>
      </c>
      <c r="H26" s="25">
        <f t="shared" si="4"/>
        <v>95459</v>
      </c>
      <c r="I26" s="25">
        <f t="shared" si="5"/>
        <v>89111</v>
      </c>
      <c r="J26" s="33">
        <f t="shared" si="7"/>
        <v>7.1236996554858489</v>
      </c>
    </row>
    <row r="27" spans="2:10" ht="19" customHeight="1" x14ac:dyDescent="0.35">
      <c r="B27" s="6" t="str">
        <f t="shared" si="10"/>
        <v>Consumidores, revendedores e concessionários de transporte de energia</v>
      </c>
      <c r="C27" s="21">
        <f t="shared" si="11"/>
        <v>350062</v>
      </c>
      <c r="D27" s="21">
        <f t="shared" si="12"/>
        <v>311771</v>
      </c>
      <c r="E27" s="59">
        <f t="shared" si="8"/>
        <v>12.281770915190959</v>
      </c>
      <c r="F27" s="10"/>
      <c r="G27" s="6" t="str">
        <f t="shared" si="9"/>
        <v>Outros passivos</v>
      </c>
      <c r="H27" s="25">
        <f t="shared" si="4"/>
        <v>459286</v>
      </c>
      <c r="I27" s="25">
        <f t="shared" si="5"/>
        <v>411507</v>
      </c>
      <c r="J27" s="33">
        <f>IFERROR(((H27/I27)-1)*100,0)</f>
        <v>11.61073809194011</v>
      </c>
    </row>
    <row r="28" spans="2:10" ht="25" customHeight="1" x14ac:dyDescent="0.35">
      <c r="B28" s="6" t="str">
        <f t="shared" si="10"/>
        <v>Tributos a recuperar</v>
      </c>
      <c r="C28" s="21">
        <f t="shared" si="11"/>
        <v>1592525</v>
      </c>
      <c r="D28" s="21">
        <f t="shared" si="12"/>
        <v>1556611</v>
      </c>
      <c r="E28" s="59">
        <f t="shared" si="8"/>
        <v>2.3071917132796882</v>
      </c>
      <c r="F28" s="10"/>
      <c r="G28" s="18" t="s">
        <v>238</v>
      </c>
      <c r="H28" s="26">
        <f>IFERROR(SUM(H29:H40),0)</f>
        <v>28211694</v>
      </c>
      <c r="I28" s="26">
        <f>IFERROR(SUM(I29:I40),0)</f>
        <v>23983868</v>
      </c>
      <c r="J28" s="63">
        <f>IFERROR(((H28/I28)-1)*100,0)</f>
        <v>17.627790479834204</v>
      </c>
    </row>
    <row r="29" spans="2:10" ht="19" customHeight="1" x14ac:dyDescent="0.35">
      <c r="B29" s="6" t="str">
        <f t="shared" si="10"/>
        <v>Imposto de renda e contribuição social a recuperar</v>
      </c>
      <c r="C29" s="21">
        <f t="shared" si="11"/>
        <v>618481</v>
      </c>
      <c r="D29" s="21">
        <f t="shared" si="12"/>
        <v>592670</v>
      </c>
      <c r="E29" s="59">
        <f t="shared" si="8"/>
        <v>4.3550373732431202</v>
      </c>
      <c r="F29" s="10"/>
      <c r="G29" s="6" t="str">
        <f>BO262</f>
        <v>Encargos regulatórios</v>
      </c>
      <c r="H29" s="25">
        <f t="shared" ref="H29:H40" si="13" xml:space="preserve">
IFERROR(
INDEX($BO$206:$FQ$602,
MATCH(
_xlfn.CONCAT($B$6,"|",$G$8,"|",$G$28,"|",G29),
$BK$206:$BK$602,0),
MATCH(
$I$6,
$BO$205:$FQ$205,0)
),0)</f>
        <v>177417</v>
      </c>
      <c r="I29" s="25">
        <f t="shared" ref="I29:I40" si="14" xml:space="preserve">
IFERROR(
INDEX($BO$206:$FQ$602,
MATCH(
_xlfn.CONCAT($B$6,"|",$G$8,"|",$G$28,"|",G29),
$BK$206:$BK$602,0),
MATCH(
$I$8,
$BO$205:$FQ$205,0)
),0)</f>
        <v>148247</v>
      </c>
      <c r="J29" s="33">
        <f t="shared" ref="J29:J39" si="15">IFERROR(((H29/I29)-1)*100,0)</f>
        <v>19.676620774788024</v>
      </c>
    </row>
    <row r="30" spans="2:10" ht="19" customHeight="1" x14ac:dyDescent="0.35">
      <c r="B30" s="6" t="str">
        <f t="shared" si="10"/>
        <v>Impostos de renda e contribuição social diferidos</v>
      </c>
      <c r="C30" s="21">
        <f t="shared" si="11"/>
        <v>1845918</v>
      </c>
      <c r="D30" s="21">
        <f t="shared" si="12"/>
        <v>1852995</v>
      </c>
      <c r="E30" s="59">
        <f t="shared" si="8"/>
        <v>-0.38192223940162195</v>
      </c>
      <c r="F30" s="10"/>
      <c r="G30" s="6" t="str">
        <f t="shared" ref="G30:G40" si="16">BO263</f>
        <v>Debêntures</v>
      </c>
      <c r="H30" s="25">
        <f t="shared" si="13"/>
        <v>20833529</v>
      </c>
      <c r="I30" s="25">
        <f t="shared" si="14"/>
        <v>16413688</v>
      </c>
      <c r="J30" s="33">
        <f t="shared" si="15"/>
        <v>26.927775159366995</v>
      </c>
    </row>
    <row r="31" spans="2:10" ht="19" customHeight="1" x14ac:dyDescent="0.35">
      <c r="B31" s="6" t="str">
        <f t="shared" si="10"/>
        <v>Depósitos vinculados a litígios</v>
      </c>
      <c r="C31" s="21">
        <f t="shared" si="11"/>
        <v>1114031</v>
      </c>
      <c r="D31" s="21">
        <f t="shared" si="12"/>
        <v>1311033</v>
      </c>
      <c r="E31" s="59">
        <f t="shared" si="8"/>
        <v>-15.026471492327042</v>
      </c>
      <c r="F31" s="10"/>
      <c r="G31" s="6" t="str">
        <f t="shared" si="16"/>
        <v>Impostos, taxas e contribuições</v>
      </c>
      <c r="H31" s="25">
        <f t="shared" si="13"/>
        <v>507077</v>
      </c>
      <c r="I31" s="25">
        <f t="shared" si="14"/>
        <v>491736</v>
      </c>
      <c r="J31" s="33">
        <f t="shared" si="15"/>
        <v>3.1197634503066674</v>
      </c>
    </row>
    <row r="32" spans="2:10" ht="19" customHeight="1" x14ac:dyDescent="0.35">
      <c r="B32" s="6" t="str">
        <f t="shared" si="10"/>
        <v>Reembolso subsídios tarifários</v>
      </c>
      <c r="C32" s="21">
        <f t="shared" si="11"/>
        <v>13204</v>
      </c>
      <c r="D32" s="21">
        <f t="shared" si="12"/>
        <v>106863</v>
      </c>
      <c r="E32" s="59">
        <f t="shared" si="8"/>
        <v>-87.643992775797059</v>
      </c>
      <c r="F32" s="10"/>
      <c r="G32" s="6" t="str">
        <f t="shared" si="16"/>
        <v>Imposto de renda e contribuição social diferidos</v>
      </c>
      <c r="H32" s="25">
        <f t="shared" si="13"/>
        <v>1523492</v>
      </c>
      <c r="I32" s="25">
        <f t="shared" si="14"/>
        <v>1569412</v>
      </c>
      <c r="J32" s="33">
        <f t="shared" si="15"/>
        <v>-2.9259365928131054</v>
      </c>
    </row>
    <row r="33" spans="2:10" ht="19" customHeight="1" x14ac:dyDescent="0.35">
      <c r="B33" s="6" t="str">
        <f t="shared" si="10"/>
        <v>Instrumentos financeiros derivativos - Swap</v>
      </c>
      <c r="C33" s="21">
        <f t="shared" si="11"/>
        <v>0</v>
      </c>
      <c r="D33" s="21">
        <f t="shared" si="12"/>
        <v>0</v>
      </c>
      <c r="E33" s="59">
        <f t="shared" si="8"/>
        <v>0</v>
      </c>
      <c r="F33" s="10"/>
      <c r="G33" s="6" t="str">
        <f t="shared" si="16"/>
        <v>Provisões</v>
      </c>
      <c r="H33" s="25">
        <f t="shared" si="13"/>
        <v>2324879</v>
      </c>
      <c r="I33" s="25">
        <f t="shared" si="14"/>
        <v>2242991</v>
      </c>
      <c r="J33" s="33">
        <f t="shared" si="15"/>
        <v>3.6508394371622455</v>
      </c>
    </row>
    <row r="34" spans="2:10" ht="19" customHeight="1" x14ac:dyDescent="0.35">
      <c r="B34" s="6" t="str">
        <f t="shared" si="10"/>
        <v>Contas a receber do Estado de Minas Gerais</v>
      </c>
      <c r="C34" s="21">
        <f t="shared" si="11"/>
        <v>24156</v>
      </c>
      <c r="D34" s="21">
        <f t="shared" si="12"/>
        <v>29572</v>
      </c>
      <c r="E34" s="59">
        <f t="shared" si="8"/>
        <v>-18.314621939672659</v>
      </c>
      <c r="F34" s="10"/>
      <c r="G34" s="6" t="str">
        <f t="shared" si="16"/>
        <v>Obrigações Pós-emprego</v>
      </c>
      <c r="H34" s="25">
        <f t="shared" si="13"/>
        <v>1663718</v>
      </c>
      <c r="I34" s="25">
        <f t="shared" si="14"/>
        <v>1672414</v>
      </c>
      <c r="J34" s="33">
        <f t="shared" si="15"/>
        <v>-0.51996694598347437</v>
      </c>
    </row>
    <row r="35" spans="2:10" ht="19" customHeight="1" x14ac:dyDescent="0.35">
      <c r="B35" s="6" t="str">
        <f t="shared" si="10"/>
        <v>Ativos financeiros e setoriais da concessão</v>
      </c>
      <c r="C35" s="21">
        <f t="shared" si="11"/>
        <v>9421180</v>
      </c>
      <c r="D35" s="21">
        <f t="shared" si="12"/>
        <v>8394918</v>
      </c>
      <c r="E35" s="59">
        <f t="shared" si="8"/>
        <v>12.224800766368404</v>
      </c>
      <c r="F35" s="10"/>
      <c r="G35" s="6" t="str">
        <f t="shared" si="16"/>
        <v>Indenização Compensatória</v>
      </c>
      <c r="H35" s="25">
        <f t="shared" si="13"/>
        <v>623926</v>
      </c>
      <c r="I35" s="25">
        <f t="shared" si="14"/>
        <v>834441</v>
      </c>
      <c r="J35" s="33">
        <f t="shared" si="15"/>
        <v>-25.228266588051163</v>
      </c>
    </row>
    <row r="36" spans="2:10" ht="19" customHeight="1" x14ac:dyDescent="0.35">
      <c r="B36" s="6" t="str">
        <f t="shared" si="10"/>
        <v>Ativos de contrato</v>
      </c>
      <c r="C36" s="21">
        <f t="shared" si="11"/>
        <v>12597494</v>
      </c>
      <c r="D36" s="21">
        <f t="shared" si="12"/>
        <v>12081355</v>
      </c>
      <c r="E36" s="59">
        <f t="shared" si="8"/>
        <v>4.2721946337972883</v>
      </c>
      <c r="F36" s="10"/>
      <c r="G36" s="6" t="str">
        <f t="shared" si="16"/>
        <v>Passivo financeiro da concessão</v>
      </c>
      <c r="H36" s="25">
        <f t="shared" si="13"/>
        <v>0</v>
      </c>
      <c r="I36" s="25">
        <f t="shared" si="14"/>
        <v>0</v>
      </c>
      <c r="J36" s="33">
        <f t="shared" si="15"/>
        <v>0</v>
      </c>
    </row>
    <row r="37" spans="2:10" ht="19" customHeight="1" x14ac:dyDescent="0.35">
      <c r="B37" s="6" t="str">
        <f t="shared" si="10"/>
        <v>Outros ativos</v>
      </c>
      <c r="C37" s="21">
        <f t="shared" si="11"/>
        <v>116093</v>
      </c>
      <c r="D37" s="21">
        <f t="shared" si="12"/>
        <v>143706</v>
      </c>
      <c r="E37" s="59">
        <f t="shared" si="8"/>
        <v>-19.214924916148245</v>
      </c>
      <c r="F37" s="10"/>
      <c r="G37" s="6" t="str">
        <f t="shared" si="16"/>
        <v>Valores a restituir a consumidores</v>
      </c>
      <c r="H37" s="25">
        <f t="shared" si="13"/>
        <v>143562</v>
      </c>
      <c r="I37" s="25">
        <f t="shared" si="14"/>
        <v>150957</v>
      </c>
      <c r="J37" s="33">
        <f t="shared" si="15"/>
        <v>-4.8987460005167076</v>
      </c>
    </row>
    <row r="38" spans="2:10" ht="20.149999999999999" customHeight="1" x14ac:dyDescent="0.35">
      <c r="B38" s="7" t="str">
        <f t="shared" si="10"/>
        <v>Investimentos</v>
      </c>
      <c r="C38" s="23">
        <f xml:space="preserve">
IFERROR(
INDEX($BO$206:$FQ$602,
MATCH(
_xlfn.CONCAT($B$6,"|",$B$8,"|",B38),
$BK$206:$BK$602,0),
MATCH(
$C$8,
$BO$205:$FQ$205,0)
),0)</f>
        <v>3048273</v>
      </c>
      <c r="D38" s="23">
        <f xml:space="preserve">
IFERROR(
INDEX($BO$206:$FQ$602,
MATCH(
_xlfn.CONCAT($B$6,"|",$B$8,"|",B38),
$BK$206:$BK$602,0),
MATCH($D$8,
$BO$205:$FQ$205,0)
),0)</f>
        <v>3059741</v>
      </c>
      <c r="E38" s="60">
        <f t="shared" si="8"/>
        <v>-0.37480296534903035</v>
      </c>
      <c r="F38" s="10"/>
      <c r="G38" s="6" t="str">
        <f t="shared" si="16"/>
        <v>Instrumentos financeiros derivativos</v>
      </c>
      <c r="H38" s="25">
        <f t="shared" si="13"/>
        <v>0</v>
      </c>
      <c r="I38" s="25">
        <f t="shared" si="14"/>
        <v>0</v>
      </c>
      <c r="J38" s="33">
        <f t="shared" si="15"/>
        <v>0</v>
      </c>
    </row>
    <row r="39" spans="2:10" ht="20.149999999999999" customHeight="1" x14ac:dyDescent="0.35">
      <c r="B39" s="7" t="str">
        <f t="shared" si="10"/>
        <v>Imobilizado</v>
      </c>
      <c r="C39" s="23">
        <f xml:space="preserve">
IFERROR(
INDEX($BO$206:$FQ$602,
MATCH(
_xlfn.CONCAT($B$6,"|",$B$8,"|",B39),
$BK$206:$BK$602,0),
MATCH(
$C$8,
$BO$205:$FQ$205,0)
),0)</f>
        <v>4314225</v>
      </c>
      <c r="D39" s="23">
        <f xml:space="preserve">
IFERROR(
INDEX($BO$206:$FQ$602,
MATCH(
_xlfn.CONCAT($B$6,"|",$B$8,"|",B39),
$BK$206:$BK$602,0),
MATCH($D$8,
$BO$205:$FQ$205,0)
),0)</f>
        <v>4189942</v>
      </c>
      <c r="E39" s="60">
        <f t="shared" si="8"/>
        <v>2.9662224441292961</v>
      </c>
      <c r="F39" s="10"/>
      <c r="G39" s="6" t="str">
        <f t="shared" si="16"/>
        <v>Passivo de arrendamento</v>
      </c>
      <c r="H39" s="25">
        <f t="shared" si="13"/>
        <v>301777</v>
      </c>
      <c r="I39" s="25">
        <f t="shared" si="14"/>
        <v>328118</v>
      </c>
      <c r="J39" s="33">
        <f t="shared" si="15"/>
        <v>-8.027904595298029</v>
      </c>
    </row>
    <row r="40" spans="2:10" ht="20.149999999999999" customHeight="1" x14ac:dyDescent="0.35">
      <c r="B40" s="7" t="str">
        <f t="shared" si="10"/>
        <v>Intangível</v>
      </c>
      <c r="C40" s="23">
        <f xml:space="preserve">
IFERROR(
INDEX($BO$206:$FQ$602,
MATCH(
_xlfn.CONCAT($B$6,"|",$B$8,"|",B40),
$BK$206:$BK$602,0),
MATCH(
$C$8,
$BO$205:$FQ$205,0)
),0)</f>
        <v>19737085</v>
      </c>
      <c r="D40" s="23">
        <f xml:space="preserve">
IFERROR(
INDEX($BO$206:$FQ$602,
MATCH(
_xlfn.CONCAT($B$6,"|",$B$8,"|",B40),
$BK$206:$BK$602,0),
MATCH($D$8,
$BO$205:$FQ$205,0)
),0)</f>
        <v>18547016</v>
      </c>
      <c r="E40" s="60">
        <f t="shared" si="8"/>
        <v>6.4164984814808035</v>
      </c>
      <c r="F40" s="10"/>
      <c r="G40" s="6" t="str">
        <f t="shared" si="16"/>
        <v>Outros passivos</v>
      </c>
      <c r="H40" s="25">
        <f t="shared" si="13"/>
        <v>112317</v>
      </c>
      <c r="I40" s="25">
        <f t="shared" si="14"/>
        <v>131864</v>
      </c>
      <c r="J40" s="33">
        <f>IFERROR(((H40/I40)-1)*100,0)</f>
        <v>-14.82360613965904</v>
      </c>
    </row>
    <row r="41" spans="2:10" ht="28" customHeight="1" x14ac:dyDescent="0.35">
      <c r="B41" s="7" t="str">
        <f t="shared" si="10"/>
        <v>Direito de uso</v>
      </c>
      <c r="C41" s="23">
        <f xml:space="preserve">
IFERROR(
INDEX($BO$206:$FQ$602,
MATCH(
_xlfn.CONCAT($B$6,"|",$B$8,"|",B41),
$BK$206:$BK$602,0),
MATCH(
$C$8,
$BO$205:$FQ$205,0)
),0)</f>
        <v>348037</v>
      </c>
      <c r="D41" s="23">
        <f xml:space="preserve">
IFERROR(
INDEX($BO$206:$FQ$602,
MATCH(
_xlfn.CONCAT($B$6,"|",$B$8,"|",B41),
$BK$206:$BK$602,0),
MATCH($D$8,
$BO$205:$FQ$205,0)
),0)</f>
        <v>370095</v>
      </c>
      <c r="E41" s="60">
        <f t="shared" si="8"/>
        <v>-5.9600913279022949</v>
      </c>
      <c r="F41" s="13"/>
      <c r="G41" s="39" t="s">
        <v>240</v>
      </c>
      <c r="H41" s="80">
        <f>IFERROR(SUM(H28,H9),0)</f>
        <v>41675096</v>
      </c>
      <c r="I41" s="80">
        <f>IFERROR(SUM(I28,I9),0)</f>
        <v>38446373</v>
      </c>
      <c r="J41" s="140">
        <f>IFERROR(((H41/I41)-1)*100,0)</f>
        <v>8.397991144704342</v>
      </c>
    </row>
    <row r="42" spans="2:10" ht="28" customHeight="1" x14ac:dyDescent="0.35">
      <c r="B42" s="39" t="s">
        <v>241</v>
      </c>
      <c r="C42" s="80">
        <f>IFERROR(SUM(C24,C9),0)</f>
        <v>70861249</v>
      </c>
      <c r="D42" s="80">
        <f>SUM(D24,D9)</f>
        <v>67028076</v>
      </c>
      <c r="E42" s="139">
        <f t="shared" si="8"/>
        <v>5.7187573159641403</v>
      </c>
      <c r="H42" s="27"/>
    </row>
    <row r="43" spans="2:10" ht="35.15" customHeight="1" x14ac:dyDescent="0.35">
      <c r="G43" s="169" t="s">
        <v>242</v>
      </c>
      <c r="H43" s="166" t="str">
        <f>IFERROR(I6,"")</f>
        <v>jun | 2026</v>
      </c>
      <c r="I43" s="166" t="str">
        <f>_xlfn.CONCAT("dez"," | ",MID($I$6,7,4)-1)</f>
        <v>dez | 2025</v>
      </c>
      <c r="J43" s="166" t="s">
        <v>5</v>
      </c>
    </row>
    <row r="44" spans="2:10" ht="20.149999999999999" customHeight="1" x14ac:dyDescent="0.35">
      <c r="G44" s="20" t="str">
        <f>BO277</f>
        <v>Atribuível aos acionistas da empresa controladora</v>
      </c>
      <c r="H44" s="28">
        <f>IFERROR(SUM(H45:H49),0)</f>
        <v>29181647</v>
      </c>
      <c r="I44" s="28">
        <f>IFERROR(SUM(I45:I49),0)</f>
        <v>28576380</v>
      </c>
      <c r="J44" s="64">
        <f>IFERROR(((H44/I44)-1)*100,0)</f>
        <v>2.1180674389128296</v>
      </c>
    </row>
    <row r="45" spans="2:10" ht="19" customHeight="1" x14ac:dyDescent="0.35">
      <c r="G45" s="6" t="str">
        <f>BO278</f>
        <v>Capital social</v>
      </c>
      <c r="H45" s="25">
        <f t="shared" ref="H45:H50" si="17" xml:space="preserve">
IFERROR(
INDEX($BO$206:$FQ$602,
MATCH(
_xlfn.CONCAT($B$6,"|",$G$43,"|",$G$44,"|",G45),
$BK$206:$BK$602,0),
MATCH(
$H$8,
$BO$205:$FQ$205,0)),0)</f>
        <v>14308909</v>
      </c>
      <c r="I45" s="25">
        <f t="shared" ref="I45:I50" si="18" xml:space="preserve">
IFERROR(
INDEX($BO$206:$FQ$602,
MATCH(
_xlfn.CONCAT($B$6,"|",$G$43,"|",$G$44,"|",G45),
$BK$206:$BK$602,0),
MATCH(
$I$8,
$BO$205:$FQ$205,0)),0)</f>
        <v>14308909</v>
      </c>
      <c r="J45" s="33">
        <f>IFERROR(((H45/I45)-1)*100,0)</f>
        <v>0</v>
      </c>
    </row>
    <row r="46" spans="2:10" ht="19" customHeight="1" x14ac:dyDescent="0.35">
      <c r="G46" s="6" t="str">
        <f t="shared" ref="G46:G49" si="19">BO279</f>
        <v>Reservas de capital</v>
      </c>
      <c r="H46" s="25">
        <f t="shared" si="17"/>
        <v>393093</v>
      </c>
      <c r="I46" s="25">
        <f t="shared" si="18"/>
        <v>393093</v>
      </c>
      <c r="J46" s="33">
        <f t="shared" ref="J46:J49" si="20">IFERROR(((H46/I46)-1)*100,0)</f>
        <v>0</v>
      </c>
    </row>
    <row r="47" spans="2:10" ht="19" customHeight="1" x14ac:dyDescent="0.35">
      <c r="G47" s="6" t="str">
        <f t="shared" si="19"/>
        <v>Reservas de lucros</v>
      </c>
      <c r="H47" s="25">
        <f t="shared" si="17"/>
        <v>14217595</v>
      </c>
      <c r="I47" s="25">
        <f t="shared" si="18"/>
        <v>14217595</v>
      </c>
      <c r="J47" s="33">
        <f t="shared" si="20"/>
        <v>0</v>
      </c>
    </row>
    <row r="48" spans="2:10" ht="19" customHeight="1" x14ac:dyDescent="0.35">
      <c r="G48" s="6" t="str">
        <f t="shared" si="19"/>
        <v>Ajustes de avaliação patrimonial</v>
      </c>
      <c r="H48" s="25">
        <f t="shared" si="17"/>
        <v>-376055</v>
      </c>
      <c r="I48" s="25">
        <f t="shared" si="18"/>
        <v>-343217</v>
      </c>
      <c r="J48" s="33">
        <f t="shared" si="20"/>
        <v>9.5677078932570261</v>
      </c>
    </row>
    <row r="49" spans="7:10" ht="19" customHeight="1" x14ac:dyDescent="0.35">
      <c r="G49" s="6" t="str">
        <f t="shared" si="19"/>
        <v>Lucros acumulados</v>
      </c>
      <c r="H49" s="25">
        <f t="shared" si="17"/>
        <v>638105</v>
      </c>
      <c r="I49" s="25">
        <f t="shared" si="18"/>
        <v>0</v>
      </c>
      <c r="J49" s="33">
        <f t="shared" si="20"/>
        <v>0</v>
      </c>
    </row>
    <row r="50" spans="7:10" ht="20.149999999999999" customHeight="1" x14ac:dyDescent="0.35">
      <c r="G50" s="44" t="str">
        <f>BO283</f>
        <v>Atribuível aos acionistas não controladores</v>
      </c>
      <c r="H50" s="138">
        <f t="shared" si="17"/>
        <v>4506</v>
      </c>
      <c r="I50" s="138">
        <f t="shared" si="18"/>
        <v>5323</v>
      </c>
      <c r="J50" s="65">
        <f>IFERROR(((H50/I50)-1)*100,0)</f>
        <v>-15.348487694908886</v>
      </c>
    </row>
    <row r="51" spans="7:10" ht="28" customHeight="1" x14ac:dyDescent="0.35">
      <c r="G51" s="39" t="s">
        <v>243</v>
      </c>
      <c r="H51" s="80">
        <f>IFERROR(SUM(H50,H44),0)</f>
        <v>29186153</v>
      </c>
      <c r="I51" s="80">
        <f>IFERROR(SUM(I50,I44),0)</f>
        <v>28581703</v>
      </c>
      <c r="J51" s="139">
        <f>IFERROR(((H51/I51)-1)*100,0)</f>
        <v>2.1148145021309572</v>
      </c>
    </row>
    <row r="53" spans="7:10" ht="28" customHeight="1" x14ac:dyDescent="0.35">
      <c r="G53" s="39" t="s">
        <v>244</v>
      </c>
      <c r="H53" s="80">
        <f>IFERROR(SUM(H51,H41),0)</f>
        <v>70861249</v>
      </c>
      <c r="I53" s="80">
        <f>IFERROR(SUM(I51,I41),0)</f>
        <v>67028076</v>
      </c>
      <c r="J53" s="139">
        <f>IFERROR(((H53/I53)-1)*100,0)</f>
        <v>5.7187573159641403</v>
      </c>
    </row>
    <row r="201" spans="63:93" ht="45" customHeight="1" x14ac:dyDescent="0.35">
      <c r="BO201" s="478" t="s">
        <v>245</v>
      </c>
      <c r="BP201" s="478"/>
      <c r="BQ201" s="478"/>
      <c r="BR201" s="478"/>
      <c r="BS201" s="478"/>
      <c r="BT201" s="478"/>
      <c r="BU201" s="478"/>
      <c r="BV201" s="478"/>
      <c r="BW201" s="478"/>
      <c r="BX201" s="478"/>
      <c r="BY201" s="478"/>
      <c r="BZ201" s="478"/>
      <c r="CA201" s="478"/>
      <c r="CB201" s="478"/>
      <c r="CC201" s="478"/>
      <c r="CD201" s="478"/>
      <c r="CE201" s="478"/>
      <c r="CF201" s="478"/>
      <c r="CG201" s="478"/>
      <c r="CH201" s="478"/>
      <c r="CI201" s="478"/>
      <c r="CJ201" s="478"/>
      <c r="CK201" s="478"/>
      <c r="CL201" s="478"/>
      <c r="CM201" s="478"/>
      <c r="CN201" s="478"/>
      <c r="CO201" s="478"/>
    </row>
    <row r="202" spans="63:93" ht="10" customHeight="1" x14ac:dyDescent="0.35"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</row>
    <row r="203" spans="63:93" ht="40" customHeight="1" x14ac:dyDescent="0.35">
      <c r="BO203" s="479" t="s">
        <v>1</v>
      </c>
      <c r="BP203" s="479"/>
      <c r="BQ203" s="479"/>
      <c r="BR203" s="479"/>
      <c r="BS203" s="479"/>
      <c r="BT203" s="479"/>
      <c r="BU203" s="479"/>
      <c r="BV203" s="479"/>
      <c r="BW203" s="479"/>
      <c r="BX203" s="479"/>
      <c r="BY203" s="479"/>
      <c r="BZ203" s="479"/>
      <c r="CA203" s="479"/>
      <c r="CB203" s="479"/>
      <c r="CC203" s="479"/>
      <c r="CD203" s="479"/>
      <c r="CE203" s="479"/>
      <c r="CF203" s="479"/>
      <c r="CG203" s="479"/>
      <c r="CH203" s="479"/>
      <c r="CI203" s="479"/>
      <c r="CJ203" s="479"/>
      <c r="CK203" s="479"/>
      <c r="CL203" s="479"/>
      <c r="CM203" s="479"/>
      <c r="CN203" s="479"/>
      <c r="CO203" s="479"/>
    </row>
    <row r="204" spans="63:93" ht="15" customHeight="1" x14ac:dyDescent="0.35">
      <c r="BO204" s="83" t="s">
        <v>25</v>
      </c>
      <c r="BP204" s="83"/>
      <c r="BQ204" s="83"/>
      <c r="BR204" s="29"/>
      <c r="BS204" s="29"/>
      <c r="BT204" s="40"/>
      <c r="BU204" s="29"/>
      <c r="BV204" s="29"/>
      <c r="BW204" s="29"/>
      <c r="BX204" s="29"/>
      <c r="BY204" s="40" t="s">
        <v>25</v>
      </c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</row>
    <row r="205" spans="63:93" ht="35.15" customHeight="1" x14ac:dyDescent="0.35">
      <c r="BK205" s="81" t="str">
        <f>BO205</f>
        <v>ATIVO</v>
      </c>
      <c r="BL205" s="81"/>
      <c r="BO205" s="169" t="s">
        <v>235</v>
      </c>
      <c r="BP205" s="180" t="s">
        <v>246</v>
      </c>
      <c r="BQ205" s="180" t="s">
        <v>247</v>
      </c>
      <c r="BR205" s="180" t="s">
        <v>234</v>
      </c>
      <c r="BS205" s="180" t="s">
        <v>248</v>
      </c>
      <c r="BT205" s="180" t="s">
        <v>249</v>
      </c>
      <c r="BU205" s="180" t="s">
        <v>250</v>
      </c>
      <c r="BV205" s="180" t="s">
        <v>251</v>
      </c>
      <c r="BW205" s="180" t="s">
        <v>252</v>
      </c>
      <c r="BX205" s="180" t="s">
        <v>253</v>
      </c>
      <c r="BY205" s="180" t="s">
        <v>254</v>
      </c>
      <c r="BZ205" s="180" t="s">
        <v>255</v>
      </c>
      <c r="CA205" s="180" t="s">
        <v>256</v>
      </c>
      <c r="CB205" s="180" t="s">
        <v>257</v>
      </c>
      <c r="CC205" s="180" t="s">
        <v>258</v>
      </c>
      <c r="CD205" s="180" t="s">
        <v>259</v>
      </c>
      <c r="CE205" s="180" t="s">
        <v>260</v>
      </c>
      <c r="CF205" s="180" t="s">
        <v>261</v>
      </c>
      <c r="CG205" s="180" t="s">
        <v>262</v>
      </c>
      <c r="CH205" s="180" t="s">
        <v>263</v>
      </c>
      <c r="CI205" s="180" t="s">
        <v>264</v>
      </c>
      <c r="CJ205" s="180" t="s">
        <v>265</v>
      </c>
      <c r="CK205" s="180" t="s">
        <v>266</v>
      </c>
      <c r="CL205" s="180" t="s">
        <v>267</v>
      </c>
      <c r="CM205" s="180" t="s">
        <v>268</v>
      </c>
      <c r="CN205" s="180" t="s">
        <v>269</v>
      </c>
      <c r="CO205" s="180" t="s">
        <v>270</v>
      </c>
    </row>
    <row r="206" spans="63:93" ht="23.15" customHeight="1" x14ac:dyDescent="0.35">
      <c r="BK206" s="81" t="str">
        <f>BO206</f>
        <v>CIRCULANTE</v>
      </c>
      <c r="BL206" s="81"/>
      <c r="BO206" s="42" t="s">
        <v>237</v>
      </c>
      <c r="BP206" s="43">
        <f t="shared" ref="BP206:CO206" si="21">IFERROR(SUM(BP207:BP220),0)</f>
        <v>15720485</v>
      </c>
      <c r="BQ206" s="43">
        <f t="shared" si="21"/>
        <v>14417420</v>
      </c>
      <c r="BR206" s="43">
        <f t="shared" si="21"/>
        <v>14479788</v>
      </c>
      <c r="BS206" s="43">
        <f t="shared" si="21"/>
        <v>13246560</v>
      </c>
      <c r="BT206" s="43">
        <f t="shared" si="21"/>
        <v>13612195</v>
      </c>
      <c r="BU206" s="43">
        <f t="shared" si="21"/>
        <v>15471501</v>
      </c>
      <c r="BV206" s="43">
        <f t="shared" si="21"/>
        <v>12232582</v>
      </c>
      <c r="BW206" s="43">
        <f t="shared" si="21"/>
        <v>16272739</v>
      </c>
      <c r="BX206" s="43">
        <f t="shared" si="21"/>
        <v>13062465</v>
      </c>
      <c r="BY206" s="43">
        <f t="shared" si="21"/>
        <v>14806211</v>
      </c>
      <c r="BZ206" s="43">
        <f t="shared" si="21"/>
        <v>11869068</v>
      </c>
      <c r="CA206" s="43">
        <f t="shared" si="21"/>
        <v>13919356</v>
      </c>
      <c r="CB206" s="43">
        <f t="shared" si="21"/>
        <v>13540429</v>
      </c>
      <c r="CC206" s="43">
        <f t="shared" si="21"/>
        <v>13138051</v>
      </c>
      <c r="CD206" s="43">
        <f t="shared" si="21"/>
        <v>13465203</v>
      </c>
      <c r="CE206" s="43">
        <f t="shared" si="21"/>
        <v>14706124</v>
      </c>
      <c r="CF206" s="43">
        <f t="shared" si="21"/>
        <v>13950706</v>
      </c>
      <c r="CG206" s="43">
        <f t="shared" si="21"/>
        <v>12533758</v>
      </c>
      <c r="CH206" s="43">
        <f t="shared" si="21"/>
        <v>12949150</v>
      </c>
      <c r="CI206" s="43">
        <f t="shared" si="21"/>
        <v>13256901</v>
      </c>
      <c r="CJ206" s="43">
        <f t="shared" si="21"/>
        <v>14893762</v>
      </c>
      <c r="CK206" s="43">
        <f t="shared" si="21"/>
        <v>14666045</v>
      </c>
      <c r="CL206" s="43">
        <f t="shared" si="21"/>
        <v>15456200</v>
      </c>
      <c r="CM206" s="43">
        <f t="shared" si="21"/>
        <v>15451284</v>
      </c>
      <c r="CN206" s="43">
        <f t="shared" si="21"/>
        <v>14161616</v>
      </c>
      <c r="CO206" s="43">
        <f t="shared" si="21"/>
        <v>10478705</v>
      </c>
    </row>
    <row r="207" spans="63:93" ht="19" customHeight="1" x14ac:dyDescent="0.35">
      <c r="BK207" s="1" t="str">
        <f>_xlfn.CONCAT($BO$203,"|",$BO$205,"|",$BO$206,"|",BO207)</f>
        <v>CEMIG|ATIVO|CIRCULANTE|Caixa e equivalentes de caixa</v>
      </c>
      <c r="BM207" s="390"/>
      <c r="BO207" s="5" t="s">
        <v>271</v>
      </c>
      <c r="BP207" s="21">
        <v>2162396</v>
      </c>
      <c r="BQ207" s="21">
        <v>1377560</v>
      </c>
      <c r="BR207" s="21">
        <v>1901636</v>
      </c>
      <c r="BS207" s="21">
        <v>1451684</v>
      </c>
      <c r="BT207" s="136">
        <v>1757787</v>
      </c>
      <c r="BU207" s="136">
        <v>3244030</v>
      </c>
      <c r="BV207" s="136">
        <v>1898224</v>
      </c>
      <c r="BW207" s="136">
        <v>3660787</v>
      </c>
      <c r="BX207" s="136">
        <v>1564249</v>
      </c>
      <c r="BY207" s="136">
        <v>2177401</v>
      </c>
      <c r="BZ207" s="136">
        <v>1537482</v>
      </c>
      <c r="CA207" s="136">
        <v>2355680</v>
      </c>
      <c r="CB207" s="136">
        <v>2182819</v>
      </c>
      <c r="CC207" s="136">
        <v>1600178</v>
      </c>
      <c r="CD207" s="136">
        <v>1440661</v>
      </c>
      <c r="CE207" s="136">
        <v>1990712</v>
      </c>
      <c r="CF207" s="136">
        <v>1867781</v>
      </c>
      <c r="CG207" s="136">
        <v>1409372</v>
      </c>
      <c r="CH207" s="136">
        <v>825208</v>
      </c>
      <c r="CI207" s="136">
        <v>827784</v>
      </c>
      <c r="CJ207" s="136">
        <v>2661596</v>
      </c>
      <c r="CK207" s="136">
        <v>3332411</v>
      </c>
      <c r="CL207" s="136">
        <v>1680397</v>
      </c>
      <c r="CM207" s="136">
        <v>1420751</v>
      </c>
      <c r="CN207" s="136">
        <v>971314</v>
      </c>
      <c r="CO207" s="136">
        <v>795731</v>
      </c>
    </row>
    <row r="208" spans="63:93" ht="19" customHeight="1" x14ac:dyDescent="0.35">
      <c r="BK208" s="1" t="str">
        <f t="shared" ref="BK208:BK220" si="22">_xlfn.CONCAT($BO$203,"|",$BO$205,"|",$BO$206,"|",BO208)</f>
        <v>CEMIG|ATIVO|CIRCULANTE|Títulos e valores mobiliários</v>
      </c>
      <c r="BM208" s="390"/>
      <c r="BO208" s="6" t="s">
        <v>272</v>
      </c>
      <c r="BP208" s="21">
        <v>919713</v>
      </c>
      <c r="BQ208" s="21">
        <v>414962</v>
      </c>
      <c r="BR208" s="21">
        <v>759702</v>
      </c>
      <c r="BS208" s="21">
        <v>865359</v>
      </c>
      <c r="BT208" s="136">
        <v>1221070</v>
      </c>
      <c r="BU208" s="136">
        <v>1456430</v>
      </c>
      <c r="BV208" s="136">
        <v>357913</v>
      </c>
      <c r="BW208" s="136">
        <v>2960449</v>
      </c>
      <c r="BX208" s="136">
        <v>1353092</v>
      </c>
      <c r="BY208" s="136">
        <v>2300277</v>
      </c>
      <c r="BZ208" s="136">
        <v>773982</v>
      </c>
      <c r="CA208" s="136">
        <v>1812392</v>
      </c>
      <c r="CB208" s="136">
        <v>1542983</v>
      </c>
      <c r="CC208" s="136">
        <v>1356927</v>
      </c>
      <c r="CD208" s="136">
        <v>1744546</v>
      </c>
      <c r="CE208" s="136">
        <v>2778971</v>
      </c>
      <c r="CF208" s="136">
        <v>1773720</v>
      </c>
      <c r="CG208" s="136">
        <v>975334</v>
      </c>
      <c r="CH208" s="136">
        <v>1724088</v>
      </c>
      <c r="CI208" s="136">
        <v>2338481</v>
      </c>
      <c r="CJ208" s="136">
        <v>3468420</v>
      </c>
      <c r="CK208" s="136">
        <v>2240626</v>
      </c>
      <c r="CL208" s="136">
        <v>3360270</v>
      </c>
      <c r="CM208" s="136">
        <v>3689369</v>
      </c>
      <c r="CN208" s="136">
        <v>2529359</v>
      </c>
      <c r="CO208" s="136">
        <v>1511678</v>
      </c>
    </row>
    <row r="209" spans="63:93" ht="19" customHeight="1" x14ac:dyDescent="0.35">
      <c r="BK209" s="1" t="str">
        <f t="shared" si="22"/>
        <v>CEMIG|ATIVO|CIRCULANTE|Consumidores, revendedores e concessionários de transporte de energia</v>
      </c>
      <c r="BM209" s="390"/>
      <c r="BO209" s="6" t="s">
        <v>273</v>
      </c>
      <c r="BP209" s="21">
        <v>6000046</v>
      </c>
      <c r="BQ209" s="21">
        <v>5733063</v>
      </c>
      <c r="BR209" s="21">
        <v>5795113</v>
      </c>
      <c r="BS209" s="21">
        <v>5570183</v>
      </c>
      <c r="BT209" s="136">
        <v>5651867</v>
      </c>
      <c r="BU209" s="136">
        <v>5518267</v>
      </c>
      <c r="BV209" s="136">
        <v>5596248</v>
      </c>
      <c r="BW209" s="136">
        <v>5212452</v>
      </c>
      <c r="BX209" s="136">
        <v>5218594</v>
      </c>
      <c r="BY209" s="136">
        <v>5225446</v>
      </c>
      <c r="BZ209" s="136">
        <v>5434358</v>
      </c>
      <c r="CA209" s="136">
        <v>4992945</v>
      </c>
      <c r="CB209" s="136">
        <v>4688726</v>
      </c>
      <c r="CC209" s="136">
        <v>4911463</v>
      </c>
      <c r="CD209" s="136">
        <v>4769431</v>
      </c>
      <c r="CE209" s="136">
        <v>4641604</v>
      </c>
      <c r="CF209" s="136">
        <v>4403850</v>
      </c>
      <c r="CG209" s="136">
        <v>4796738</v>
      </c>
      <c r="CH209" s="136">
        <v>4429883</v>
      </c>
      <c r="CI209" s="136">
        <v>4989132</v>
      </c>
      <c r="CJ209" s="136">
        <v>4313779</v>
      </c>
      <c r="CK209" s="136">
        <v>4317385</v>
      </c>
      <c r="CL209" s="136">
        <v>4373075</v>
      </c>
      <c r="CM209" s="136">
        <v>4436196</v>
      </c>
      <c r="CN209" s="136">
        <v>4173334</v>
      </c>
      <c r="CO209" s="136">
        <v>4326756</v>
      </c>
    </row>
    <row r="210" spans="63:93" ht="19" customHeight="1" x14ac:dyDescent="0.35">
      <c r="BK210" s="1" t="str">
        <f t="shared" si="22"/>
        <v>CEMIG|ATIVO|CIRCULANTE|Ativos financeiros e setoriais da concessão</v>
      </c>
      <c r="BM210" s="390"/>
      <c r="BO210" s="6" t="s">
        <v>274</v>
      </c>
      <c r="BP210" s="21">
        <v>2232857</v>
      </c>
      <c r="BQ210" s="21">
        <v>2076104</v>
      </c>
      <c r="BR210" s="21">
        <v>1675291</v>
      </c>
      <c r="BS210" s="21">
        <v>1353582</v>
      </c>
      <c r="BT210" s="136">
        <v>1232360</v>
      </c>
      <c r="BU210" s="136">
        <v>1332464</v>
      </c>
      <c r="BV210" s="136">
        <v>1190020</v>
      </c>
      <c r="BW210" s="136">
        <v>1026072</v>
      </c>
      <c r="BX210" s="136">
        <v>811758</v>
      </c>
      <c r="BY210" s="136">
        <v>926100</v>
      </c>
      <c r="BZ210" s="136">
        <v>814378</v>
      </c>
      <c r="CA210" s="136">
        <v>834993</v>
      </c>
      <c r="CB210" s="136">
        <v>777231</v>
      </c>
      <c r="CC210" s="136">
        <v>1028762</v>
      </c>
      <c r="CD210" s="136">
        <v>1055378</v>
      </c>
      <c r="CE210" s="136">
        <v>1266468</v>
      </c>
      <c r="CF210" s="136">
        <v>1622523</v>
      </c>
      <c r="CG210" s="136">
        <v>1340337</v>
      </c>
      <c r="CH210" s="136">
        <v>1504666</v>
      </c>
      <c r="CI210" s="136">
        <v>959191</v>
      </c>
      <c r="CJ210" s="136">
        <v>446477</v>
      </c>
      <c r="CK210" s="136">
        <v>296393</v>
      </c>
      <c r="CL210" s="136">
        <v>258588</v>
      </c>
      <c r="CM210" s="136">
        <v>580989</v>
      </c>
      <c r="CN210" s="136">
        <v>1268509</v>
      </c>
      <c r="CO210" s="136">
        <v>1138980</v>
      </c>
    </row>
    <row r="211" spans="63:93" ht="19" customHeight="1" x14ac:dyDescent="0.35">
      <c r="BK211" s="1" t="str">
        <f t="shared" si="22"/>
        <v>CEMIG|ATIVO|CIRCULANTE|Ativos de contrato</v>
      </c>
      <c r="BM211" s="390"/>
      <c r="BO211" s="6" t="s">
        <v>275</v>
      </c>
      <c r="BP211" s="21">
        <v>1296550</v>
      </c>
      <c r="BQ211" s="21">
        <v>1133097</v>
      </c>
      <c r="BR211" s="21">
        <v>1115452</v>
      </c>
      <c r="BS211" s="21">
        <v>1124444</v>
      </c>
      <c r="BT211" s="136">
        <v>1109923</v>
      </c>
      <c r="BU211" s="136">
        <v>1179364</v>
      </c>
      <c r="BV211" s="136">
        <v>1140037</v>
      </c>
      <c r="BW211" s="136">
        <v>1129372</v>
      </c>
      <c r="BX211" s="136">
        <v>889247</v>
      </c>
      <c r="BY211" s="136">
        <v>860465</v>
      </c>
      <c r="BZ211" s="136">
        <v>850071</v>
      </c>
      <c r="CA211" s="136">
        <v>831592</v>
      </c>
      <c r="CB211" s="136">
        <v>786793</v>
      </c>
      <c r="CC211" s="136">
        <v>759414</v>
      </c>
      <c r="CD211" s="136">
        <v>728404</v>
      </c>
      <c r="CE211" s="136">
        <v>704291</v>
      </c>
      <c r="CF211" s="136">
        <v>675325</v>
      </c>
      <c r="CG211" s="136">
        <v>638210</v>
      </c>
      <c r="CH211" s="136">
        <v>599692</v>
      </c>
      <c r="CI211" s="136">
        <v>559885</v>
      </c>
      <c r="CJ211" s="136">
        <v>540876</v>
      </c>
      <c r="CK211" s="136">
        <v>774507</v>
      </c>
      <c r="CL211" s="136">
        <v>737110</v>
      </c>
      <c r="CM211" s="136">
        <v>246677</v>
      </c>
      <c r="CN211" s="136">
        <v>176299</v>
      </c>
      <c r="CO211" s="136">
        <v>166220</v>
      </c>
    </row>
    <row r="212" spans="63:93" ht="19" customHeight="1" x14ac:dyDescent="0.35">
      <c r="BK212" s="1" t="str">
        <f t="shared" si="22"/>
        <v>CEMIG|ATIVO|CIRCULANTE|Tributos a recuperar</v>
      </c>
      <c r="BM212" s="390"/>
      <c r="BO212" s="6" t="s">
        <v>276</v>
      </c>
      <c r="BP212" s="21">
        <v>695997</v>
      </c>
      <c r="BQ212" s="21">
        <v>648958</v>
      </c>
      <c r="BR212" s="21">
        <v>580004</v>
      </c>
      <c r="BS212" s="21">
        <v>557882</v>
      </c>
      <c r="BT212" s="136">
        <v>551193</v>
      </c>
      <c r="BU212" s="136">
        <v>532808</v>
      </c>
      <c r="BV212" s="136">
        <v>510963</v>
      </c>
      <c r="BW212" s="136">
        <v>625894</v>
      </c>
      <c r="BX212" s="136">
        <v>542868</v>
      </c>
      <c r="BY212" s="136">
        <v>527561</v>
      </c>
      <c r="BZ212" s="136">
        <v>634864</v>
      </c>
      <c r="CA212" s="136">
        <v>802885</v>
      </c>
      <c r="CB212" s="136">
        <v>1163202</v>
      </c>
      <c r="CC212" s="136">
        <v>1529363</v>
      </c>
      <c r="CD212" s="136">
        <v>1916701</v>
      </c>
      <c r="CE212" s="136">
        <v>1499658</v>
      </c>
      <c r="CF212" s="136">
        <v>1583804</v>
      </c>
      <c r="CG212" s="136">
        <v>1901020</v>
      </c>
      <c r="CH212" s="136">
        <v>1968979</v>
      </c>
      <c r="CI212" s="136">
        <v>1939671</v>
      </c>
      <c r="CJ212" s="136">
        <v>1987881</v>
      </c>
      <c r="CK212" s="136">
        <v>1821241</v>
      </c>
      <c r="CL212" s="136">
        <v>1850057</v>
      </c>
      <c r="CM212" s="136">
        <v>2183014</v>
      </c>
      <c r="CN212" s="136">
        <v>2117663</v>
      </c>
      <c r="CO212" s="136">
        <v>102273</v>
      </c>
    </row>
    <row r="213" spans="63:93" ht="19" customHeight="1" x14ac:dyDescent="0.35">
      <c r="BK213" s="1" t="str">
        <f t="shared" si="22"/>
        <v>CEMIG|ATIVO|CIRCULANTE|Imposto de renda e contribuição social a recuperar</v>
      </c>
      <c r="BM213" s="390"/>
      <c r="BO213" s="6" t="s">
        <v>277</v>
      </c>
      <c r="BP213" s="21">
        <v>292293</v>
      </c>
      <c r="BQ213" s="21">
        <v>291751</v>
      </c>
      <c r="BR213" s="21">
        <v>396698</v>
      </c>
      <c r="BS213" s="21">
        <v>237826</v>
      </c>
      <c r="BT213" s="136">
        <v>152812</v>
      </c>
      <c r="BU213" s="136">
        <v>33386</v>
      </c>
      <c r="BV213" s="136">
        <v>7283</v>
      </c>
      <c r="BW213" s="136">
        <v>1613</v>
      </c>
      <c r="BX213" s="136">
        <v>7429</v>
      </c>
      <c r="BY213" s="136">
        <v>248910</v>
      </c>
      <c r="BZ213" s="136">
        <v>411376</v>
      </c>
      <c r="CA213" s="136">
        <v>683444</v>
      </c>
      <c r="CB213" s="136">
        <v>835924</v>
      </c>
      <c r="CC213" s="136">
        <v>778173</v>
      </c>
      <c r="CD213" s="136">
        <v>775492</v>
      </c>
      <c r="CE213" s="136">
        <v>798518</v>
      </c>
      <c r="CF213" s="136">
        <v>969935</v>
      </c>
      <c r="CG213" s="136">
        <v>465150</v>
      </c>
      <c r="CH213" s="136">
        <v>698914</v>
      </c>
      <c r="CI213" s="136">
        <v>709414</v>
      </c>
      <c r="CJ213" s="136">
        <v>375554</v>
      </c>
      <c r="CK213" s="136">
        <v>482222</v>
      </c>
      <c r="CL213" s="136">
        <v>597610</v>
      </c>
      <c r="CM213" s="136">
        <v>579082</v>
      </c>
      <c r="CN213" s="136">
        <v>496822</v>
      </c>
      <c r="CO213" s="136">
        <v>493381</v>
      </c>
    </row>
    <row r="214" spans="63:93" ht="19" customHeight="1" x14ac:dyDescent="0.35">
      <c r="BK214" s="1" t="str">
        <f t="shared" si="22"/>
        <v>CEMIG|ATIVO|CIRCULANTE|Instrumentos financeiros derivativos</v>
      </c>
      <c r="BO214" s="6" t="s">
        <v>278</v>
      </c>
      <c r="BP214" s="79">
        <v>0</v>
      </c>
      <c r="BQ214" s="79">
        <v>0</v>
      </c>
      <c r="BR214" s="79">
        <v>0</v>
      </c>
      <c r="BS214" s="21">
        <v>0</v>
      </c>
      <c r="BT214" s="136">
        <v>0</v>
      </c>
      <c r="BU214" s="136">
        <v>0</v>
      </c>
      <c r="BV214" s="136">
        <v>0</v>
      </c>
      <c r="BW214" s="136">
        <v>499910</v>
      </c>
      <c r="BX214" s="136">
        <v>486625</v>
      </c>
      <c r="BY214" s="136">
        <v>410083</v>
      </c>
      <c r="BZ214" s="136">
        <v>368051</v>
      </c>
      <c r="CA214" s="136">
        <v>0</v>
      </c>
      <c r="CB214" s="136">
        <v>0</v>
      </c>
      <c r="CC214" s="136">
        <v>0</v>
      </c>
      <c r="CD214" s="136">
        <v>0</v>
      </c>
      <c r="CE214" s="136">
        <v>68609</v>
      </c>
      <c r="CF214" s="136">
        <v>0</v>
      </c>
      <c r="CG214" s="136">
        <v>0</v>
      </c>
      <c r="CH214" s="136">
        <v>0</v>
      </c>
      <c r="CI214" s="136">
        <v>152802</v>
      </c>
      <c r="CJ214" s="136">
        <v>160784</v>
      </c>
      <c r="CK214" s="136">
        <v>512050</v>
      </c>
      <c r="CL214" s="136">
        <v>522579</v>
      </c>
      <c r="CM214" s="136">
        <v>619119</v>
      </c>
      <c r="CN214" s="136">
        <v>589555</v>
      </c>
      <c r="CO214" s="136">
        <v>485006</v>
      </c>
    </row>
    <row r="215" spans="63:93" ht="19" customHeight="1" x14ac:dyDescent="0.35">
      <c r="BK215" s="1" t="str">
        <f t="shared" si="22"/>
        <v>CEMIG|ATIVO|CIRCULANTE|Dividendos a receber</v>
      </c>
      <c r="BM215" s="390"/>
      <c r="BO215" s="6" t="s">
        <v>279</v>
      </c>
      <c r="BP215" s="21">
        <v>38280</v>
      </c>
      <c r="BQ215" s="21">
        <v>21081</v>
      </c>
      <c r="BR215" s="21">
        <v>80677</v>
      </c>
      <c r="BS215" s="21">
        <v>81550</v>
      </c>
      <c r="BT215" s="136">
        <v>63382</v>
      </c>
      <c r="BU215" s="136">
        <v>75462</v>
      </c>
      <c r="BV215" s="136">
        <v>111367</v>
      </c>
      <c r="BW215" s="136">
        <v>44811</v>
      </c>
      <c r="BX215" s="136">
        <v>56091</v>
      </c>
      <c r="BY215" s="136">
        <v>88035</v>
      </c>
      <c r="BZ215" s="136">
        <v>49914</v>
      </c>
      <c r="CA215" s="136">
        <v>68837</v>
      </c>
      <c r="CB215" s="136">
        <v>74121</v>
      </c>
      <c r="CC215" s="136">
        <v>157487</v>
      </c>
      <c r="CD215" s="136">
        <v>145908</v>
      </c>
      <c r="CE215" s="136">
        <v>71217</v>
      </c>
      <c r="CF215" s="136">
        <v>196364</v>
      </c>
      <c r="CG215" s="136">
        <v>230240</v>
      </c>
      <c r="CH215" s="136">
        <v>335189</v>
      </c>
      <c r="CI215" s="136">
        <v>87301</v>
      </c>
      <c r="CJ215" s="136">
        <v>111295</v>
      </c>
      <c r="CK215" s="136">
        <v>231673</v>
      </c>
      <c r="CL215" s="136">
        <v>188327</v>
      </c>
      <c r="CM215" s="136">
        <v>84253</v>
      </c>
      <c r="CN215" s="136">
        <v>97398</v>
      </c>
      <c r="CO215" s="136">
        <v>186310</v>
      </c>
    </row>
    <row r="216" spans="63:93" ht="19" customHeight="1" x14ac:dyDescent="0.35">
      <c r="BK216" s="1" t="str">
        <f t="shared" si="22"/>
        <v>CEMIG|ATIVO|CIRCULANTE|Fundos vinculados</v>
      </c>
      <c r="BM216" s="390"/>
      <c r="BO216" s="6" t="s">
        <v>280</v>
      </c>
      <c r="BP216" s="21">
        <v>57964</v>
      </c>
      <c r="BQ216" s="21">
        <v>798531</v>
      </c>
      <c r="BR216" s="21">
        <v>239558</v>
      </c>
      <c r="BS216" s="21">
        <v>48244</v>
      </c>
      <c r="BT216" s="136">
        <v>45106</v>
      </c>
      <c r="BU216" s="136">
        <v>784082</v>
      </c>
      <c r="BV216" s="136">
        <v>235206</v>
      </c>
      <c r="BW216" s="136">
        <v>0</v>
      </c>
      <c r="BX216" s="136">
        <v>0</v>
      </c>
      <c r="BY216" s="136">
        <v>0</v>
      </c>
      <c r="BZ216" s="136">
        <v>30615</v>
      </c>
      <c r="CA216" s="136">
        <v>0</v>
      </c>
      <c r="CB216" s="136">
        <v>0</v>
      </c>
      <c r="CC216" s="136">
        <v>0</v>
      </c>
      <c r="CD216" s="136">
        <v>0</v>
      </c>
      <c r="CE216" s="136">
        <v>0</v>
      </c>
      <c r="CF216" s="136">
        <v>0</v>
      </c>
      <c r="CG216" s="136">
        <v>0</v>
      </c>
      <c r="CH216" s="136">
        <v>0</v>
      </c>
      <c r="CI216" s="136">
        <v>0</v>
      </c>
      <c r="CJ216" s="136">
        <v>0</v>
      </c>
      <c r="CK216" s="136">
        <v>0</v>
      </c>
      <c r="CL216" s="136">
        <v>0</v>
      </c>
      <c r="CM216" s="136">
        <v>0</v>
      </c>
      <c r="CN216" s="136">
        <v>0</v>
      </c>
      <c r="CO216" s="136">
        <v>0</v>
      </c>
    </row>
    <row r="217" spans="63:93" ht="19" customHeight="1" x14ac:dyDescent="0.35">
      <c r="BK217" s="1" t="str">
        <f t="shared" si="22"/>
        <v>CEMIG|ATIVO|CIRCULANTE|Contribuição de iluminação pública</v>
      </c>
      <c r="BM217" s="390"/>
      <c r="BO217" s="6" t="s">
        <v>281</v>
      </c>
      <c r="BP217" s="21">
        <v>342244</v>
      </c>
      <c r="BQ217" s="21">
        <v>330599</v>
      </c>
      <c r="BR217" s="21">
        <v>340645</v>
      </c>
      <c r="BS217" s="21">
        <v>340243</v>
      </c>
      <c r="BT217" s="136">
        <v>327073</v>
      </c>
      <c r="BU217" s="136">
        <v>309362</v>
      </c>
      <c r="BV217" s="136">
        <v>296061</v>
      </c>
      <c r="BW217" s="136">
        <v>269300</v>
      </c>
      <c r="BX217" s="136">
        <v>257043</v>
      </c>
      <c r="BY217" s="136">
        <v>266283</v>
      </c>
      <c r="BZ217" s="136">
        <v>260722</v>
      </c>
      <c r="CA217" s="136">
        <v>239530</v>
      </c>
      <c r="CB217" s="136">
        <v>232578</v>
      </c>
      <c r="CC217" s="136">
        <v>225055</v>
      </c>
      <c r="CD217" s="136">
        <v>207280</v>
      </c>
      <c r="CE217" s="136">
        <v>201325</v>
      </c>
      <c r="CF217" s="136">
        <v>198731</v>
      </c>
      <c r="CG217" s="136">
        <v>247276</v>
      </c>
      <c r="CH217" s="136">
        <v>233309</v>
      </c>
      <c r="CI217" s="136">
        <v>237019</v>
      </c>
      <c r="CJ217" s="136">
        <v>197132</v>
      </c>
      <c r="CK217" s="136">
        <v>177499</v>
      </c>
      <c r="CL217" s="136">
        <v>179401</v>
      </c>
      <c r="CM217" s="136">
        <v>164967</v>
      </c>
      <c r="CN217" s="136">
        <v>175521</v>
      </c>
      <c r="CO217" s="136">
        <v>173724</v>
      </c>
    </row>
    <row r="218" spans="63:93" ht="19" customHeight="1" x14ac:dyDescent="0.35">
      <c r="BK218" s="1" t="str">
        <f t="shared" si="22"/>
        <v>CEMIG|ATIVO|CIRCULANTE|Reembolso subsídios tarifários</v>
      </c>
      <c r="BM218" s="390"/>
      <c r="BO218" s="6" t="s">
        <v>282</v>
      </c>
      <c r="BP218" s="21">
        <v>663620</v>
      </c>
      <c r="BQ218" s="21">
        <v>643274</v>
      </c>
      <c r="BR218" s="21">
        <v>616328</v>
      </c>
      <c r="BS218" s="21">
        <v>617718</v>
      </c>
      <c r="BT218" s="136">
        <v>623470</v>
      </c>
      <c r="BU218" s="136">
        <v>0</v>
      </c>
      <c r="BV218" s="136">
        <v>0</v>
      </c>
      <c r="BW218" s="136">
        <v>0</v>
      </c>
      <c r="BX218" s="136">
        <v>0</v>
      </c>
      <c r="BY218" s="136">
        <v>0</v>
      </c>
      <c r="BZ218" s="136">
        <v>0</v>
      </c>
      <c r="CA218" s="136">
        <v>195834</v>
      </c>
      <c r="CB218" s="136">
        <v>124343</v>
      </c>
      <c r="CC218" s="136">
        <v>97336</v>
      </c>
      <c r="CD218" s="136">
        <v>0</v>
      </c>
      <c r="CE218" s="136">
        <v>96514</v>
      </c>
      <c r="CF218" s="136">
        <v>95588</v>
      </c>
      <c r="CG218" s="136">
        <v>101961</v>
      </c>
      <c r="CH218" s="136">
        <v>291896</v>
      </c>
      <c r="CI218" s="136">
        <v>85400</v>
      </c>
      <c r="CJ218" s="136">
        <v>85846</v>
      </c>
      <c r="CK218" s="136">
        <v>87836</v>
      </c>
      <c r="CL218" s="136">
        <v>88349</v>
      </c>
      <c r="CM218" s="136">
        <v>86257</v>
      </c>
      <c r="CN218" s="136">
        <v>89048</v>
      </c>
      <c r="CO218" s="136">
        <v>96836</v>
      </c>
    </row>
    <row r="219" spans="63:93" ht="19" customHeight="1" x14ac:dyDescent="0.35">
      <c r="BK219" s="1" t="str">
        <f t="shared" si="22"/>
        <v>CEMIG|ATIVO|CIRCULANTE|Ativos classificados como mantidos para venda</v>
      </c>
      <c r="BM219" s="390"/>
      <c r="BO219" s="41" t="s">
        <v>284</v>
      </c>
      <c r="BP219" s="21">
        <v>0</v>
      </c>
      <c r="BQ219" s="21">
        <v>0</v>
      </c>
      <c r="BR219" s="21">
        <v>0</v>
      </c>
      <c r="BS219" s="21">
        <v>63794</v>
      </c>
      <c r="BT219" s="136">
        <v>57114</v>
      </c>
      <c r="BU219" s="136">
        <v>57614</v>
      </c>
      <c r="BV219" s="136">
        <v>56864</v>
      </c>
      <c r="BW219" s="136">
        <v>38959</v>
      </c>
      <c r="BX219" s="136">
        <v>1157394</v>
      </c>
      <c r="BY219" s="136">
        <v>1118565</v>
      </c>
      <c r="BZ219" s="136">
        <v>57867</v>
      </c>
      <c r="CA219" s="136">
        <v>408422</v>
      </c>
      <c r="CB219" s="136">
        <v>362423</v>
      </c>
      <c r="CC219" s="136">
        <v>7212</v>
      </c>
      <c r="CD219" s="136">
        <v>0</v>
      </c>
      <c r="CE219" s="136">
        <v>0</v>
      </c>
      <c r="CF219" s="136">
        <v>0</v>
      </c>
      <c r="CG219" s="136">
        <v>0</v>
      </c>
      <c r="CH219" s="136">
        <v>0</v>
      </c>
      <c r="CI219" s="136">
        <v>0</v>
      </c>
      <c r="CJ219" s="136">
        <v>0</v>
      </c>
      <c r="CK219" s="136">
        <v>0</v>
      </c>
      <c r="CL219" s="136">
        <v>1258111</v>
      </c>
      <c r="CM219" s="136">
        <v>987844</v>
      </c>
      <c r="CN219" s="136">
        <v>1124088</v>
      </c>
      <c r="CO219" s="136">
        <v>648951</v>
      </c>
    </row>
    <row r="220" spans="63:93" ht="19" customHeight="1" x14ac:dyDescent="0.35">
      <c r="BK220" s="1" t="str">
        <f t="shared" si="22"/>
        <v>CEMIG|ATIVO|CIRCULANTE|Outros ativos</v>
      </c>
      <c r="BM220" s="390"/>
      <c r="BO220" s="6" t="s">
        <v>283</v>
      </c>
      <c r="BP220" s="21">
        <v>1018525</v>
      </c>
      <c r="BQ220" s="21">
        <v>948440</v>
      </c>
      <c r="BR220" s="21">
        <v>978684</v>
      </c>
      <c r="BS220" s="21">
        <v>934051</v>
      </c>
      <c r="BT220" s="136">
        <v>819038</v>
      </c>
      <c r="BU220" s="136">
        <v>948232</v>
      </c>
      <c r="BV220" s="136">
        <v>832396</v>
      </c>
      <c r="BW220" s="136">
        <v>803120</v>
      </c>
      <c r="BX220" s="136">
        <v>718075</v>
      </c>
      <c r="BY220" s="136">
        <v>657085</v>
      </c>
      <c r="BZ220" s="136">
        <v>645388</v>
      </c>
      <c r="CA220" s="136">
        <v>692802</v>
      </c>
      <c r="CB220" s="136">
        <v>769286</v>
      </c>
      <c r="CC220" s="136">
        <v>686681</v>
      </c>
      <c r="CD220" s="136">
        <v>681402</v>
      </c>
      <c r="CE220" s="136">
        <v>588237</v>
      </c>
      <c r="CF220" s="136">
        <v>563085</v>
      </c>
      <c r="CG220" s="136">
        <v>428120</v>
      </c>
      <c r="CH220" s="136">
        <v>337326</v>
      </c>
      <c r="CI220" s="136">
        <v>370821</v>
      </c>
      <c r="CJ220" s="136">
        <v>544122</v>
      </c>
      <c r="CK220" s="136">
        <v>392202</v>
      </c>
      <c r="CL220" s="136">
        <v>362326</v>
      </c>
      <c r="CM220" s="136">
        <v>372766</v>
      </c>
      <c r="CN220" s="136">
        <v>352706</v>
      </c>
      <c r="CO220" s="136">
        <v>352859</v>
      </c>
    </row>
    <row r="221" spans="63:93" ht="23.15" customHeight="1" x14ac:dyDescent="0.35">
      <c r="BK221" s="81" t="str">
        <f>BO221</f>
        <v>NÃO CIRCULANTE</v>
      </c>
      <c r="BL221" s="81"/>
      <c r="BO221" s="4" t="s">
        <v>238</v>
      </c>
      <c r="BP221" s="22">
        <f>IFERROR(SUM(BP222,BP235:BP238),0)</f>
        <v>55140764</v>
      </c>
      <c r="BQ221" s="22">
        <f>IFERROR(SUM(BQ222,BQ235:BQ238),0)</f>
        <v>53756873</v>
      </c>
      <c r="BR221" s="22">
        <f>IFERROR(SUM(BR222,BR235:BR238),0)</f>
        <v>52548288</v>
      </c>
      <c r="BS221" s="22">
        <f t="shared" ref="BS221:CO221" si="23">IFERROR(SUM(BS222,BS235:BS238),0)</f>
        <v>51503583</v>
      </c>
      <c r="BT221" s="22">
        <f t="shared" si="23"/>
        <v>49799034</v>
      </c>
      <c r="BU221" s="22">
        <f t="shared" si="23"/>
        <v>48430430</v>
      </c>
      <c r="BV221" s="22">
        <f t="shared" si="23"/>
        <v>47494254</v>
      </c>
      <c r="BW221" s="22">
        <f t="shared" si="23"/>
        <v>46734159</v>
      </c>
      <c r="BX221" s="22">
        <f t="shared" si="23"/>
        <v>43678308</v>
      </c>
      <c r="BY221" s="22">
        <f t="shared" si="23"/>
        <v>42635819</v>
      </c>
      <c r="BZ221" s="22">
        <f t="shared" si="23"/>
        <v>43131012</v>
      </c>
      <c r="CA221" s="22">
        <f t="shared" si="23"/>
        <v>42246074</v>
      </c>
      <c r="CB221" s="22">
        <f t="shared" si="23"/>
        <v>41002635</v>
      </c>
      <c r="CC221" s="22">
        <f t="shared" si="23"/>
        <v>40947309</v>
      </c>
      <c r="CD221" s="22">
        <f t="shared" si="23"/>
        <v>40205634</v>
      </c>
      <c r="CE221" s="22">
        <f t="shared" si="23"/>
        <v>39807917</v>
      </c>
      <c r="CF221" s="22">
        <f t="shared" si="23"/>
        <v>39270680</v>
      </c>
      <c r="CG221" s="22">
        <f t="shared" si="23"/>
        <v>38533634</v>
      </c>
      <c r="CH221" s="22">
        <f t="shared" si="23"/>
        <v>39096658</v>
      </c>
      <c r="CI221" s="22">
        <f t="shared" si="23"/>
        <v>39859765</v>
      </c>
      <c r="CJ221" s="22">
        <f t="shared" si="23"/>
        <v>38945492</v>
      </c>
      <c r="CK221" s="22">
        <f t="shared" si="23"/>
        <v>38345009</v>
      </c>
      <c r="CL221" s="22">
        <f t="shared" si="23"/>
        <v>38626880</v>
      </c>
      <c r="CM221" s="22">
        <f t="shared" si="23"/>
        <v>37874873</v>
      </c>
      <c r="CN221" s="22">
        <f t="shared" si="23"/>
        <v>38373524</v>
      </c>
      <c r="CO221" s="22">
        <f t="shared" si="23"/>
        <v>39902782</v>
      </c>
    </row>
    <row r="222" spans="63:93" ht="20.149999999999999" customHeight="1" x14ac:dyDescent="0.35">
      <c r="BK222" s="81" t="str">
        <f>BO222</f>
        <v>Realizável a longo prazo</v>
      </c>
      <c r="BO222" s="7" t="s">
        <v>239</v>
      </c>
      <c r="BP222" s="23">
        <f>IFERROR(SUM(BP223:BP234),0)</f>
        <v>27693144</v>
      </c>
      <c r="BQ222" s="23">
        <f t="shared" ref="BQ222" si="24">IFERROR(SUM(BQ223:BQ234),0)</f>
        <v>27381823</v>
      </c>
      <c r="BR222" s="23">
        <f>IFERROR(SUM(BR223:BR234),0)</f>
        <v>26381494</v>
      </c>
      <c r="BS222" s="23">
        <f t="shared" ref="BS222:CO222" si="25">IFERROR(SUM(BS223:BS234),0)</f>
        <v>25854019</v>
      </c>
      <c r="BT222" s="23">
        <f t="shared" si="25"/>
        <v>24985060</v>
      </c>
      <c r="BU222" s="23">
        <f t="shared" si="25"/>
        <v>23966799</v>
      </c>
      <c r="BV222" s="23">
        <f t="shared" si="25"/>
        <v>23365059</v>
      </c>
      <c r="BW222" s="23">
        <f t="shared" si="25"/>
        <v>23193143</v>
      </c>
      <c r="BX222" s="23">
        <f t="shared" si="25"/>
        <v>20698483</v>
      </c>
      <c r="BY222" s="23">
        <f t="shared" si="25"/>
        <v>19908373</v>
      </c>
      <c r="BZ222" s="23">
        <f t="shared" si="25"/>
        <v>19596217</v>
      </c>
      <c r="CA222" s="23">
        <f t="shared" si="25"/>
        <v>19249068</v>
      </c>
      <c r="CB222" s="23">
        <f t="shared" si="25"/>
        <v>18566525</v>
      </c>
      <c r="CC222" s="23">
        <f t="shared" si="25"/>
        <v>18393906</v>
      </c>
      <c r="CD222" s="23">
        <f t="shared" si="25"/>
        <v>17739629</v>
      </c>
      <c r="CE222" s="23">
        <f t="shared" si="25"/>
        <v>18284483</v>
      </c>
      <c r="CF222" s="23">
        <f t="shared" si="25"/>
        <v>18106605</v>
      </c>
      <c r="CG222" s="23">
        <f t="shared" si="25"/>
        <v>17516702</v>
      </c>
      <c r="CH222" s="23">
        <f t="shared" si="25"/>
        <v>18392553</v>
      </c>
      <c r="CI222" s="23">
        <f t="shared" si="25"/>
        <v>18671171</v>
      </c>
      <c r="CJ222" s="23">
        <f t="shared" si="25"/>
        <v>18304138</v>
      </c>
      <c r="CK222" s="23">
        <f t="shared" si="25"/>
        <v>18466450</v>
      </c>
      <c r="CL222" s="23">
        <f t="shared" si="25"/>
        <v>18782442</v>
      </c>
      <c r="CM222" s="23">
        <f t="shared" si="25"/>
        <v>17945860</v>
      </c>
      <c r="CN222" s="23">
        <f t="shared" si="25"/>
        <v>18511950</v>
      </c>
      <c r="CO222" s="23">
        <f t="shared" si="25"/>
        <v>20042920</v>
      </c>
    </row>
    <row r="223" spans="63:93" ht="19" customHeight="1" x14ac:dyDescent="0.35">
      <c r="BK223" s="1" t="str">
        <f t="shared" ref="BK223:BK234" si="26">_xlfn.CONCAT($BO$203,"|",$BO$205,"|",$BO$221,"|",BO223)</f>
        <v>CEMIG|ATIVO|NÃO CIRCULANTE|Títulos e valores mobiliários</v>
      </c>
      <c r="BO223" s="6" t="s">
        <v>272</v>
      </c>
      <c r="BP223" s="21">
        <v>0</v>
      </c>
      <c r="BQ223" s="21">
        <v>0</v>
      </c>
      <c r="BR223" s="21">
        <v>0</v>
      </c>
      <c r="BS223" s="21">
        <v>0</v>
      </c>
      <c r="BT223" s="136">
        <v>56439</v>
      </c>
      <c r="BU223" s="136">
        <v>54627</v>
      </c>
      <c r="BV223" s="136">
        <v>134606</v>
      </c>
      <c r="BW223" s="136">
        <v>130854</v>
      </c>
      <c r="BX223" s="136">
        <v>77916</v>
      </c>
      <c r="BY223" s="136">
        <v>75810</v>
      </c>
      <c r="BZ223" s="136">
        <v>0</v>
      </c>
      <c r="CA223" s="136">
        <v>0</v>
      </c>
      <c r="CB223" s="136">
        <v>138802</v>
      </c>
      <c r="CC223" s="136">
        <v>137079</v>
      </c>
      <c r="CD223" s="136">
        <v>133631</v>
      </c>
      <c r="CE223" s="136">
        <v>134737</v>
      </c>
      <c r="CF223" s="136">
        <v>150892</v>
      </c>
      <c r="CG223" s="136">
        <v>190527</v>
      </c>
      <c r="CH223" s="136">
        <v>353730</v>
      </c>
      <c r="CI223" s="136">
        <v>688998</v>
      </c>
      <c r="CJ223" s="136">
        <v>868059</v>
      </c>
      <c r="CK223" s="136">
        <v>608066</v>
      </c>
      <c r="CL223" s="136">
        <v>764793</v>
      </c>
      <c r="CM223" s="136">
        <v>409268</v>
      </c>
      <c r="CN223" s="136">
        <v>204561</v>
      </c>
      <c r="CO223" s="136">
        <v>133217</v>
      </c>
    </row>
    <row r="224" spans="63:93" ht="19" customHeight="1" x14ac:dyDescent="0.35">
      <c r="BK224" s="1" t="str">
        <f t="shared" si="26"/>
        <v>CEMIG|ATIVO|NÃO CIRCULANTE|Consumidores, revendedores e concessionários de transporte de energia</v>
      </c>
      <c r="BM224" s="390"/>
      <c r="BO224" s="6" t="s">
        <v>273</v>
      </c>
      <c r="BP224" s="21">
        <v>350062</v>
      </c>
      <c r="BQ224" s="21">
        <v>326693</v>
      </c>
      <c r="BR224" s="21">
        <v>311771</v>
      </c>
      <c r="BS224" s="21">
        <v>291486</v>
      </c>
      <c r="BT224" s="136">
        <v>276672</v>
      </c>
      <c r="BU224" s="136">
        <v>274714</v>
      </c>
      <c r="BV224" s="136">
        <v>253925</v>
      </c>
      <c r="BW224" s="136">
        <v>227183</v>
      </c>
      <c r="BX224" s="136">
        <v>41142</v>
      </c>
      <c r="BY224" s="136">
        <v>42451</v>
      </c>
      <c r="BZ224" s="136">
        <v>42804</v>
      </c>
      <c r="CA224" s="136">
        <v>44523</v>
      </c>
      <c r="CB224" s="136">
        <v>46665</v>
      </c>
      <c r="CC224" s="136">
        <v>45827</v>
      </c>
      <c r="CD224" s="136">
        <v>43449</v>
      </c>
      <c r="CE224" s="136">
        <v>45858</v>
      </c>
      <c r="CF224" s="136">
        <v>48158</v>
      </c>
      <c r="CG224" s="136">
        <v>49760</v>
      </c>
      <c r="CH224" s="136">
        <v>51540</v>
      </c>
      <c r="CI224" s="136">
        <v>70027</v>
      </c>
      <c r="CJ224" s="136">
        <v>107234</v>
      </c>
      <c r="CK224" s="136">
        <v>134070</v>
      </c>
      <c r="CL224" s="136">
        <v>160969</v>
      </c>
      <c r="CM224" s="136">
        <v>162794</v>
      </c>
      <c r="CN224" s="136">
        <v>74151</v>
      </c>
      <c r="CO224" s="136">
        <v>74622</v>
      </c>
    </row>
    <row r="225" spans="63:93" ht="19" customHeight="1" x14ac:dyDescent="0.35">
      <c r="BK225" s="1" t="str">
        <f t="shared" si="26"/>
        <v>CEMIG|ATIVO|NÃO CIRCULANTE|Tributos a recuperar</v>
      </c>
      <c r="BM225" s="390"/>
      <c r="BO225" s="6" t="s">
        <v>276</v>
      </c>
      <c r="BP225" s="21">
        <v>1592525</v>
      </c>
      <c r="BQ225" s="21">
        <v>1588674</v>
      </c>
      <c r="BR225" s="21">
        <v>1556611</v>
      </c>
      <c r="BS225" s="21">
        <v>1515913</v>
      </c>
      <c r="BT225" s="136">
        <v>1507199</v>
      </c>
      <c r="BU225" s="136">
        <v>1475706</v>
      </c>
      <c r="BV225" s="136">
        <v>1454662</v>
      </c>
      <c r="BW225" s="136">
        <v>1404369</v>
      </c>
      <c r="BX225" s="136">
        <v>1353058</v>
      </c>
      <c r="BY225" s="136">
        <v>1325410</v>
      </c>
      <c r="BZ225" s="136">
        <v>1318547</v>
      </c>
      <c r="CA225" s="136">
        <v>1263355</v>
      </c>
      <c r="CB225" s="136">
        <v>1213329</v>
      </c>
      <c r="CC225" s="136">
        <v>1401982</v>
      </c>
      <c r="CD225" s="136">
        <v>1357846</v>
      </c>
      <c r="CE225" s="136">
        <v>1672230</v>
      </c>
      <c r="CF225" s="136">
        <v>1758675</v>
      </c>
      <c r="CG225" s="136">
        <v>1735313</v>
      </c>
      <c r="CH225" s="136">
        <v>1997285</v>
      </c>
      <c r="CI225" s="136">
        <v>2416545</v>
      </c>
      <c r="CJ225" s="136">
        <v>2704563</v>
      </c>
      <c r="CK225" s="136">
        <v>3087870</v>
      </c>
      <c r="CL225" s="136">
        <v>3442071</v>
      </c>
      <c r="CM225" s="136">
        <v>3691045</v>
      </c>
      <c r="CN225" s="136">
        <v>4237507</v>
      </c>
      <c r="CO225" s="136">
        <v>6393879</v>
      </c>
    </row>
    <row r="226" spans="63:93" ht="19" customHeight="1" x14ac:dyDescent="0.35">
      <c r="BK226" s="1" t="str">
        <f t="shared" si="26"/>
        <v>CEMIG|ATIVO|NÃO CIRCULANTE|Imposto de renda e contribuição social a recuperar</v>
      </c>
      <c r="BM226" s="390"/>
      <c r="BO226" s="6" t="s">
        <v>277</v>
      </c>
      <c r="BP226" s="21">
        <v>618481</v>
      </c>
      <c r="BQ226" s="21">
        <v>638519</v>
      </c>
      <c r="BR226" s="21">
        <v>592670</v>
      </c>
      <c r="BS226" s="21">
        <v>548439</v>
      </c>
      <c r="BT226" s="136">
        <v>511669</v>
      </c>
      <c r="BU226" s="136">
        <v>564274</v>
      </c>
      <c r="BV226" s="136">
        <v>582348</v>
      </c>
      <c r="BW226" s="136">
        <v>602027</v>
      </c>
      <c r="BX226" s="136">
        <v>564557</v>
      </c>
      <c r="BY226" s="136">
        <v>294536</v>
      </c>
      <c r="BZ226" s="136">
        <v>445339</v>
      </c>
      <c r="CA226" s="136">
        <v>222747</v>
      </c>
      <c r="CB226" s="136">
        <v>148505</v>
      </c>
      <c r="CC226" s="136">
        <v>144086</v>
      </c>
      <c r="CD226" s="136">
        <v>172718</v>
      </c>
      <c r="CE226" s="136">
        <v>294216</v>
      </c>
      <c r="CF226" s="136">
        <v>301000</v>
      </c>
      <c r="CG226" s="136">
        <v>327478</v>
      </c>
      <c r="CH226" s="136">
        <v>315405</v>
      </c>
      <c r="CI226" s="136">
        <v>286386</v>
      </c>
      <c r="CJ226" s="136">
        <v>302510</v>
      </c>
      <c r="CK226" s="136">
        <v>271266</v>
      </c>
      <c r="CL226" s="136">
        <v>346523</v>
      </c>
      <c r="CM226" s="136">
        <v>195622</v>
      </c>
      <c r="CN226" s="136">
        <v>195622</v>
      </c>
      <c r="CO226" s="136">
        <v>193307</v>
      </c>
    </row>
    <row r="227" spans="63:93" ht="19" customHeight="1" x14ac:dyDescent="0.35">
      <c r="BK227" s="1" t="str">
        <f t="shared" si="26"/>
        <v>CEMIG|ATIVO|NÃO CIRCULANTE|Impostos de renda e contribuição social diferidos</v>
      </c>
      <c r="BM227" s="390"/>
      <c r="BO227" s="6" t="s">
        <v>285</v>
      </c>
      <c r="BP227" s="21">
        <v>1845918</v>
      </c>
      <c r="BQ227" s="21">
        <v>1894104</v>
      </c>
      <c r="BR227" s="21">
        <v>1852995</v>
      </c>
      <c r="BS227" s="21">
        <v>2396172</v>
      </c>
      <c r="BT227" s="136">
        <v>2348044</v>
      </c>
      <c r="BU227" s="136">
        <v>2367343</v>
      </c>
      <c r="BV227" s="136">
        <v>2333721</v>
      </c>
      <c r="BW227" s="136">
        <v>2684617</v>
      </c>
      <c r="BX227" s="136">
        <v>2725604</v>
      </c>
      <c r="BY227" s="136">
        <v>3017520</v>
      </c>
      <c r="BZ227" s="136">
        <v>3044738</v>
      </c>
      <c r="CA227" s="136">
        <v>2963432</v>
      </c>
      <c r="CB227" s="136">
        <v>2982457</v>
      </c>
      <c r="CC227" s="136">
        <v>3131998</v>
      </c>
      <c r="CD227" s="136">
        <v>3119522</v>
      </c>
      <c r="CE227" s="136">
        <v>3116860</v>
      </c>
      <c r="CF227" s="136">
        <v>3072772</v>
      </c>
      <c r="CG227" s="136">
        <v>2524598</v>
      </c>
      <c r="CH227" s="136">
        <v>2464734</v>
      </c>
      <c r="CI227" s="136">
        <v>2435285</v>
      </c>
      <c r="CJ227" s="136">
        <v>2464775</v>
      </c>
      <c r="CK227" s="136">
        <v>2544690</v>
      </c>
      <c r="CL227" s="136">
        <v>2452860</v>
      </c>
      <c r="CM227" s="136">
        <v>2505092</v>
      </c>
      <c r="CN227" s="136">
        <v>2537820</v>
      </c>
      <c r="CO227" s="136">
        <v>2644927</v>
      </c>
    </row>
    <row r="228" spans="63:93" ht="19" customHeight="1" x14ac:dyDescent="0.35">
      <c r="BK228" s="1" t="str">
        <f t="shared" si="26"/>
        <v>CEMIG|ATIVO|NÃO CIRCULANTE|Depósitos vinculados a litígios</v>
      </c>
      <c r="BM228" s="390"/>
      <c r="BO228" s="6" t="s">
        <v>287</v>
      </c>
      <c r="BP228" s="21">
        <v>1114031</v>
      </c>
      <c r="BQ228" s="21">
        <v>1211544</v>
      </c>
      <c r="BR228" s="21">
        <v>1311033</v>
      </c>
      <c r="BS228" s="21">
        <v>1288796</v>
      </c>
      <c r="BT228" s="136">
        <v>1207197</v>
      </c>
      <c r="BU228" s="136">
        <v>1204150</v>
      </c>
      <c r="BV228" s="136">
        <v>1196083</v>
      </c>
      <c r="BW228" s="136">
        <v>1276044</v>
      </c>
      <c r="BX228" s="136">
        <v>1276268</v>
      </c>
      <c r="BY228" s="136">
        <v>1267276</v>
      </c>
      <c r="BZ228" s="136">
        <v>1243012</v>
      </c>
      <c r="CA228" s="136">
        <v>1231984</v>
      </c>
      <c r="CB228" s="136">
        <v>1214964</v>
      </c>
      <c r="CC228" s="136">
        <v>1205273</v>
      </c>
      <c r="CD228" s="136">
        <v>1206595</v>
      </c>
      <c r="CE228" s="136">
        <v>1246581</v>
      </c>
      <c r="CF228" s="136">
        <v>1219483</v>
      </c>
      <c r="CG228" s="136">
        <v>1195649</v>
      </c>
      <c r="CH228" s="136">
        <v>1155169</v>
      </c>
      <c r="CI228" s="136">
        <v>1150331</v>
      </c>
      <c r="CJ228" s="136">
        <v>1111042</v>
      </c>
      <c r="CK228" s="136">
        <v>1106468</v>
      </c>
      <c r="CL228" s="136">
        <v>1055797</v>
      </c>
      <c r="CM228" s="136">
        <v>1088828</v>
      </c>
      <c r="CN228" s="136">
        <v>1170254</v>
      </c>
      <c r="CO228" s="136">
        <v>1137584</v>
      </c>
    </row>
    <row r="229" spans="63:93" ht="19" customHeight="1" x14ac:dyDescent="0.35">
      <c r="BK229" s="1" t="str">
        <f t="shared" si="26"/>
        <v>CEMIG|ATIVO|NÃO CIRCULANTE|Reembolso subsídios tarifários</v>
      </c>
      <c r="BM229" s="390"/>
      <c r="BO229" s="6" t="s">
        <v>282</v>
      </c>
      <c r="BP229" s="21">
        <v>13204</v>
      </c>
      <c r="BQ229" s="21">
        <v>54655</v>
      </c>
      <c r="BR229" s="21">
        <v>106863</v>
      </c>
      <c r="BS229" s="21">
        <v>88079</v>
      </c>
      <c r="BT229" s="136">
        <v>15620</v>
      </c>
      <c r="BU229" s="136">
        <v>0</v>
      </c>
      <c r="BV229" s="136">
        <v>0</v>
      </c>
      <c r="BW229" s="136">
        <v>0</v>
      </c>
      <c r="BX229" s="136">
        <v>0</v>
      </c>
      <c r="BY229" s="136">
        <v>0</v>
      </c>
      <c r="BZ229" s="136">
        <v>0</v>
      </c>
      <c r="CA229" s="136">
        <v>0</v>
      </c>
      <c r="CB229" s="136">
        <v>0</v>
      </c>
      <c r="CC229" s="136">
        <v>0</v>
      </c>
      <c r="CD229" s="136">
        <v>0</v>
      </c>
      <c r="CE229" s="136">
        <v>0</v>
      </c>
      <c r="CF229" s="136">
        <v>0</v>
      </c>
      <c r="CG229" s="136">
        <v>0</v>
      </c>
      <c r="CH229" s="136">
        <v>0</v>
      </c>
      <c r="CI229" s="136">
        <v>0</v>
      </c>
      <c r="CJ229" s="136">
        <v>0</v>
      </c>
      <c r="CK229" s="136">
        <v>0</v>
      </c>
      <c r="CL229" s="136">
        <v>0</v>
      </c>
      <c r="CM229" s="136">
        <v>0</v>
      </c>
      <c r="CN229" s="136">
        <v>0</v>
      </c>
      <c r="CO229" s="136">
        <v>0</v>
      </c>
    </row>
    <row r="230" spans="63:93" ht="19" customHeight="1" x14ac:dyDescent="0.35">
      <c r="BK230" s="1" t="str">
        <f t="shared" si="26"/>
        <v>CEMIG|ATIVO|NÃO CIRCULANTE|Instrumentos financeiros derivativos - Swap</v>
      </c>
      <c r="BO230" s="6" t="s">
        <v>288</v>
      </c>
      <c r="BP230" s="21">
        <v>0</v>
      </c>
      <c r="BQ230" s="21">
        <v>0</v>
      </c>
      <c r="BR230" s="21">
        <v>0</v>
      </c>
      <c r="BS230" s="21">
        <v>0</v>
      </c>
      <c r="BT230" s="136">
        <v>0</v>
      </c>
      <c r="BU230" s="136">
        <v>0</v>
      </c>
      <c r="BV230" s="136">
        <v>0</v>
      </c>
      <c r="BW230" s="136">
        <v>0</v>
      </c>
      <c r="BX230" s="136">
        <v>0</v>
      </c>
      <c r="BY230" s="136">
        <v>0</v>
      </c>
      <c r="BZ230" s="136">
        <v>0</v>
      </c>
      <c r="CA230" s="136">
        <v>378531</v>
      </c>
      <c r="CB230" s="136">
        <v>339382</v>
      </c>
      <c r="CC230" s="136">
        <v>709067</v>
      </c>
      <c r="CD230" s="136">
        <v>702734</v>
      </c>
      <c r="CE230" s="136">
        <v>744179</v>
      </c>
      <c r="CF230" s="136">
        <v>975023</v>
      </c>
      <c r="CG230" s="136">
        <v>866223</v>
      </c>
      <c r="CH230" s="136">
        <v>1219176</v>
      </c>
      <c r="CI230" s="136">
        <v>1149837</v>
      </c>
      <c r="CJ230" s="136">
        <v>1188952</v>
      </c>
      <c r="CK230" s="136">
        <v>2249532</v>
      </c>
      <c r="CL230" s="136">
        <v>2426351</v>
      </c>
      <c r="CM230" s="136">
        <v>2665023</v>
      </c>
      <c r="CN230" s="136">
        <v>2691936</v>
      </c>
      <c r="CO230" s="136">
        <v>2520178</v>
      </c>
    </row>
    <row r="231" spans="63:93" ht="19" customHeight="1" x14ac:dyDescent="0.35">
      <c r="BK231" s="1" t="str">
        <f t="shared" si="26"/>
        <v>CEMIG|ATIVO|NÃO CIRCULANTE|Contas a receber do Estado de Minas Gerais</v>
      </c>
      <c r="BM231" s="390"/>
      <c r="BO231" s="6" t="s">
        <v>289</v>
      </c>
      <c r="BP231" s="21">
        <v>24156</v>
      </c>
      <c r="BQ231" s="21">
        <v>26864</v>
      </c>
      <c r="BR231" s="21">
        <v>29572</v>
      </c>
      <c r="BS231" s="21">
        <v>32281</v>
      </c>
      <c r="BT231" s="136">
        <v>34987</v>
      </c>
      <c r="BU231" s="136">
        <v>37690</v>
      </c>
      <c r="BV231" s="136">
        <v>40393</v>
      </c>
      <c r="BW231" s="136">
        <v>43095</v>
      </c>
      <c r="BX231" s="136">
        <v>45798</v>
      </c>
      <c r="BY231" s="136">
        <v>13366</v>
      </c>
      <c r="BZ231" s="136">
        <v>13366</v>
      </c>
      <c r="CA231" s="136">
        <v>13366</v>
      </c>
      <c r="CB231" s="136">
        <v>13366</v>
      </c>
      <c r="CC231" s="136">
        <v>13366</v>
      </c>
      <c r="CD231" s="136">
        <v>13366</v>
      </c>
      <c r="CE231" s="136">
        <v>13366</v>
      </c>
      <c r="CF231" s="136">
        <v>13366</v>
      </c>
      <c r="CG231" s="136">
        <v>13366</v>
      </c>
      <c r="CH231" s="136">
        <v>13366</v>
      </c>
      <c r="CI231" s="136">
        <v>13366</v>
      </c>
      <c r="CJ231" s="136">
        <v>13366</v>
      </c>
      <c r="CK231" s="136">
        <v>12573</v>
      </c>
      <c r="CL231" s="136">
        <v>11614</v>
      </c>
      <c r="CM231" s="136">
        <v>131794</v>
      </c>
      <c r="CN231" s="136">
        <v>120258</v>
      </c>
      <c r="CO231" s="136">
        <v>117144</v>
      </c>
    </row>
    <row r="232" spans="63:93" ht="19" customHeight="1" x14ac:dyDescent="0.35">
      <c r="BK232" s="1" t="str">
        <f t="shared" si="26"/>
        <v>CEMIG|ATIVO|NÃO CIRCULANTE|Ativos financeiros e setoriais da concessão</v>
      </c>
      <c r="BM232" s="390"/>
      <c r="BO232" s="6" t="s">
        <v>274</v>
      </c>
      <c r="BP232" s="21">
        <v>9421180</v>
      </c>
      <c r="BQ232" s="21">
        <v>8668223</v>
      </c>
      <c r="BR232" s="21">
        <v>8394918</v>
      </c>
      <c r="BS232" s="21">
        <v>8047513</v>
      </c>
      <c r="BT232" s="136">
        <v>7642329</v>
      </c>
      <c r="BU232" s="136">
        <v>7183855</v>
      </c>
      <c r="BV232" s="136">
        <v>6881394</v>
      </c>
      <c r="BW232" s="136">
        <v>6506199</v>
      </c>
      <c r="BX232" s="136">
        <v>6141972</v>
      </c>
      <c r="BY232" s="136">
        <v>5903547</v>
      </c>
      <c r="BZ232" s="136">
        <v>5726352</v>
      </c>
      <c r="CA232" s="136">
        <v>5621191</v>
      </c>
      <c r="CB232" s="136">
        <v>5444226</v>
      </c>
      <c r="CC232" s="136">
        <v>5155986</v>
      </c>
      <c r="CD232" s="136">
        <v>4937187</v>
      </c>
      <c r="CE232" s="136">
        <v>4375746</v>
      </c>
      <c r="CF232" s="136">
        <v>4262681</v>
      </c>
      <c r="CG232" s="136">
        <v>4591689</v>
      </c>
      <c r="CH232" s="136">
        <v>4969400</v>
      </c>
      <c r="CI232" s="136">
        <v>5168068</v>
      </c>
      <c r="CJ232" s="136">
        <v>4468750</v>
      </c>
      <c r="CK232" s="136">
        <v>4010432</v>
      </c>
      <c r="CL232" s="136">
        <v>3798734</v>
      </c>
      <c r="CM232" s="136">
        <v>4470210</v>
      </c>
      <c r="CN232" s="136">
        <v>4728409</v>
      </c>
      <c r="CO232" s="136">
        <v>4730622</v>
      </c>
    </row>
    <row r="233" spans="63:93" ht="19" customHeight="1" x14ac:dyDescent="0.35">
      <c r="BK233" s="1" t="str">
        <f t="shared" si="26"/>
        <v>CEMIG|ATIVO|NÃO CIRCULANTE|Ativos de contrato</v>
      </c>
      <c r="BM233" s="390"/>
      <c r="BO233" s="6" t="s">
        <v>275</v>
      </c>
      <c r="BP233" s="21">
        <v>12597494</v>
      </c>
      <c r="BQ233" s="21">
        <v>12870479</v>
      </c>
      <c r="BR233" s="21">
        <v>12081355</v>
      </c>
      <c r="BS233" s="21">
        <v>11496117</v>
      </c>
      <c r="BT233" s="136">
        <v>11243748</v>
      </c>
      <c r="BU233" s="136">
        <v>10669960</v>
      </c>
      <c r="BV233" s="136">
        <v>10326877</v>
      </c>
      <c r="BW233" s="136">
        <v>10171720</v>
      </c>
      <c r="BX233" s="136">
        <v>8353321</v>
      </c>
      <c r="BY233" s="136">
        <v>7872906</v>
      </c>
      <c r="BZ233" s="136">
        <v>7675592</v>
      </c>
      <c r="CA233" s="136">
        <v>7410163</v>
      </c>
      <c r="CB233" s="136">
        <v>6947683</v>
      </c>
      <c r="CC233" s="136">
        <v>6369437</v>
      </c>
      <c r="CD233" s="136">
        <v>5976420</v>
      </c>
      <c r="CE233" s="136">
        <v>6568231</v>
      </c>
      <c r="CF233" s="136">
        <v>6223570</v>
      </c>
      <c r="CG233" s="136">
        <v>5949114</v>
      </c>
      <c r="CH233" s="136">
        <v>5780316</v>
      </c>
      <c r="CI233" s="136">
        <v>5216007</v>
      </c>
      <c r="CJ233" s="136">
        <v>5000117</v>
      </c>
      <c r="CK233" s="136">
        <v>4368011</v>
      </c>
      <c r="CL233" s="136">
        <v>4242962</v>
      </c>
      <c r="CM233" s="136">
        <v>2528645</v>
      </c>
      <c r="CN233" s="136">
        <v>2429995</v>
      </c>
      <c r="CO233" s="136">
        <v>1930945</v>
      </c>
    </row>
    <row r="234" spans="63:93" ht="19" customHeight="1" x14ac:dyDescent="0.35">
      <c r="BK234" s="1" t="str">
        <f t="shared" si="26"/>
        <v>CEMIG|ATIVO|NÃO CIRCULANTE|Outros ativos</v>
      </c>
      <c r="BM234" s="390"/>
      <c r="BO234" s="6" t="s">
        <v>283</v>
      </c>
      <c r="BP234" s="21">
        <v>116093</v>
      </c>
      <c r="BQ234" s="21">
        <v>102068</v>
      </c>
      <c r="BR234" s="21">
        <v>143706</v>
      </c>
      <c r="BS234" s="21">
        <v>149223</v>
      </c>
      <c r="BT234" s="136">
        <v>141156</v>
      </c>
      <c r="BU234" s="136">
        <v>134480</v>
      </c>
      <c r="BV234" s="136">
        <v>161050</v>
      </c>
      <c r="BW234" s="136">
        <v>147035</v>
      </c>
      <c r="BX234" s="136">
        <v>118847</v>
      </c>
      <c r="BY234" s="136">
        <v>95551</v>
      </c>
      <c r="BZ234" s="136">
        <v>86467</v>
      </c>
      <c r="CA234" s="136">
        <v>99776</v>
      </c>
      <c r="CB234" s="136">
        <v>77146</v>
      </c>
      <c r="CC234" s="136">
        <v>79805</v>
      </c>
      <c r="CD234" s="136">
        <v>76161</v>
      </c>
      <c r="CE234" s="136">
        <v>72479</v>
      </c>
      <c r="CF234" s="136">
        <v>80985</v>
      </c>
      <c r="CG234" s="136">
        <v>72985</v>
      </c>
      <c r="CH234" s="136">
        <v>72432</v>
      </c>
      <c r="CI234" s="136">
        <v>76321</v>
      </c>
      <c r="CJ234" s="136">
        <v>74770</v>
      </c>
      <c r="CK234" s="136">
        <v>73472</v>
      </c>
      <c r="CL234" s="136">
        <v>79768</v>
      </c>
      <c r="CM234" s="136">
        <v>97539</v>
      </c>
      <c r="CN234" s="136">
        <v>121437</v>
      </c>
      <c r="CO234" s="136">
        <v>166495</v>
      </c>
    </row>
    <row r="235" spans="63:93" ht="20.149999999999999" customHeight="1" x14ac:dyDescent="0.35">
      <c r="BK235" s="1" t="str">
        <f>_xlfn.CONCAT($BO$203,"|",$BO$205,"|",BO235)</f>
        <v>CEMIG|ATIVO|Investimentos</v>
      </c>
      <c r="BM235" s="390"/>
      <c r="BO235" s="7" t="s">
        <v>290</v>
      </c>
      <c r="BP235" s="23">
        <v>3048273</v>
      </c>
      <c r="BQ235" s="23">
        <v>3058790</v>
      </c>
      <c r="BR235" s="23">
        <v>3059741</v>
      </c>
      <c r="BS235" s="23">
        <v>3233714</v>
      </c>
      <c r="BT235" s="137">
        <v>3275291</v>
      </c>
      <c r="BU235" s="137">
        <v>3253848</v>
      </c>
      <c r="BV235" s="137">
        <v>3221020</v>
      </c>
      <c r="BW235" s="137">
        <v>3367882</v>
      </c>
      <c r="BX235" s="137">
        <v>3376358</v>
      </c>
      <c r="BY235" s="137">
        <v>3461948</v>
      </c>
      <c r="BZ235" s="137">
        <v>4631720</v>
      </c>
      <c r="CA235" s="137">
        <v>4797643</v>
      </c>
      <c r="CB235" s="137">
        <v>4821254</v>
      </c>
      <c r="CC235" s="137">
        <v>5123692</v>
      </c>
      <c r="CD235" s="137">
        <v>5105724</v>
      </c>
      <c r="CE235" s="137">
        <v>5373517</v>
      </c>
      <c r="CF235" s="137">
        <v>5404996</v>
      </c>
      <c r="CG235" s="137">
        <v>5404409</v>
      </c>
      <c r="CH235" s="137">
        <v>5105926</v>
      </c>
      <c r="CI235" s="137">
        <v>5613565</v>
      </c>
      <c r="CJ235" s="137">
        <v>5331408</v>
      </c>
      <c r="CK235" s="137">
        <v>5502497</v>
      </c>
      <c r="CL235" s="137">
        <v>5415293</v>
      </c>
      <c r="CM235" s="137">
        <v>5504974</v>
      </c>
      <c r="CN235" s="137">
        <v>5455180</v>
      </c>
      <c r="CO235" s="137">
        <v>5453989</v>
      </c>
    </row>
    <row r="236" spans="63:93" ht="20.149999999999999" customHeight="1" x14ac:dyDescent="0.35">
      <c r="BK236" s="1" t="str">
        <f t="shared" ref="BK236:BK238" si="27">_xlfn.CONCAT($BO$203,"|",$BO$205,"|",BO236)</f>
        <v>CEMIG|ATIVO|Imobilizado</v>
      </c>
      <c r="BM236" s="390"/>
      <c r="BO236" s="7" t="s">
        <v>291</v>
      </c>
      <c r="BP236" s="23">
        <v>4314225</v>
      </c>
      <c r="BQ236" s="23">
        <v>4259245</v>
      </c>
      <c r="BR236" s="23">
        <v>4189942</v>
      </c>
      <c r="BS236" s="23">
        <v>4017948</v>
      </c>
      <c r="BT236" s="137">
        <v>3910084</v>
      </c>
      <c r="BU236" s="137">
        <v>3749261</v>
      </c>
      <c r="BV236" s="137">
        <v>3715105</v>
      </c>
      <c r="BW236" s="137">
        <v>3590827</v>
      </c>
      <c r="BX236" s="137">
        <v>3422825</v>
      </c>
      <c r="BY236" s="137">
        <v>3351219</v>
      </c>
      <c r="BZ236" s="137">
        <v>3256226</v>
      </c>
      <c r="CA236" s="137">
        <v>2958286</v>
      </c>
      <c r="CB236" s="137">
        <v>2608064</v>
      </c>
      <c r="CC236" s="137">
        <v>2408039</v>
      </c>
      <c r="CD236" s="137">
        <v>2409351</v>
      </c>
      <c r="CE236" s="137">
        <v>2404840</v>
      </c>
      <c r="CF236" s="137">
        <v>2372711</v>
      </c>
      <c r="CG236" s="137">
        <v>2389491</v>
      </c>
      <c r="CH236" s="137">
        <v>2419269</v>
      </c>
      <c r="CI236" s="137">
        <v>2390117</v>
      </c>
      <c r="CJ236" s="137">
        <v>2392881</v>
      </c>
      <c r="CK236" s="137">
        <v>2391080</v>
      </c>
      <c r="CL236" s="137">
        <v>2407143</v>
      </c>
      <c r="CM236" s="137">
        <v>2404412</v>
      </c>
      <c r="CN236" s="137">
        <v>2422073</v>
      </c>
      <c r="CO236" s="137">
        <v>2429566</v>
      </c>
    </row>
    <row r="237" spans="63:93" ht="20.149999999999999" customHeight="1" x14ac:dyDescent="0.35">
      <c r="BK237" s="1" t="str">
        <f t="shared" si="27"/>
        <v>CEMIG|ATIVO|Intangível</v>
      </c>
      <c r="BM237" s="390"/>
      <c r="BO237" s="7" t="s">
        <v>292</v>
      </c>
      <c r="BP237" s="23">
        <v>19737085</v>
      </c>
      <c r="BQ237" s="23">
        <v>18704246</v>
      </c>
      <c r="BR237" s="23">
        <v>18547016</v>
      </c>
      <c r="BS237" s="23">
        <v>18020044</v>
      </c>
      <c r="BT237" s="137">
        <v>17247304</v>
      </c>
      <c r="BU237" s="137">
        <v>17086997</v>
      </c>
      <c r="BV237" s="137">
        <v>16805900</v>
      </c>
      <c r="BW237" s="137">
        <v>16203774</v>
      </c>
      <c r="BX237" s="137">
        <v>15790780</v>
      </c>
      <c r="BY237" s="137">
        <v>15528596</v>
      </c>
      <c r="BZ237" s="137">
        <v>15248980</v>
      </c>
      <c r="CA237" s="137">
        <v>14864580</v>
      </c>
      <c r="CB237" s="137">
        <v>14620636</v>
      </c>
      <c r="CC237" s="137">
        <v>14644219</v>
      </c>
      <c r="CD237" s="137">
        <v>14621853</v>
      </c>
      <c r="CE237" s="137">
        <v>13523670</v>
      </c>
      <c r="CF237" s="137">
        <v>13185048</v>
      </c>
      <c r="CG237" s="137">
        <v>13011817</v>
      </c>
      <c r="CH237" s="137">
        <v>12953317</v>
      </c>
      <c r="CI237" s="137">
        <v>12947049</v>
      </c>
      <c r="CJ237" s="137">
        <v>12728720</v>
      </c>
      <c r="CK237" s="137">
        <v>11782273</v>
      </c>
      <c r="CL237" s="137">
        <v>11809928</v>
      </c>
      <c r="CM237" s="137">
        <v>11789311</v>
      </c>
      <c r="CN237" s="137">
        <v>11741863</v>
      </c>
      <c r="CO237" s="137">
        <v>11717025</v>
      </c>
    </row>
    <row r="238" spans="63:93" ht="20.149999999999999" customHeight="1" x14ac:dyDescent="0.35">
      <c r="BK238" s="1" t="str">
        <f t="shared" si="27"/>
        <v>CEMIG|ATIVO|Direito de uso</v>
      </c>
      <c r="BM238" s="390"/>
      <c r="BO238" s="8" t="s">
        <v>293</v>
      </c>
      <c r="BP238" s="23">
        <v>348037</v>
      </c>
      <c r="BQ238" s="23">
        <v>352769</v>
      </c>
      <c r="BR238" s="23">
        <v>370095</v>
      </c>
      <c r="BS238" s="23">
        <v>377858</v>
      </c>
      <c r="BT238" s="137">
        <v>381295</v>
      </c>
      <c r="BU238" s="137">
        <v>373525</v>
      </c>
      <c r="BV238" s="137">
        <v>387170</v>
      </c>
      <c r="BW238" s="137">
        <v>378533</v>
      </c>
      <c r="BX238" s="137">
        <v>389862</v>
      </c>
      <c r="BY238" s="137">
        <v>385683</v>
      </c>
      <c r="BZ238" s="137">
        <v>397869</v>
      </c>
      <c r="CA238" s="137">
        <v>376497</v>
      </c>
      <c r="CB238" s="137">
        <v>386156</v>
      </c>
      <c r="CC238" s="137">
        <v>377453</v>
      </c>
      <c r="CD238" s="137">
        <v>329077</v>
      </c>
      <c r="CE238" s="137">
        <v>221407</v>
      </c>
      <c r="CF238" s="137">
        <v>201320</v>
      </c>
      <c r="CG238" s="137">
        <v>211215</v>
      </c>
      <c r="CH238" s="137">
        <v>225593</v>
      </c>
      <c r="CI238" s="137">
        <v>237863</v>
      </c>
      <c r="CJ238" s="137">
        <v>188345</v>
      </c>
      <c r="CK238" s="137">
        <v>202709</v>
      </c>
      <c r="CL238" s="137">
        <v>212074</v>
      </c>
      <c r="CM238" s="137">
        <v>230316</v>
      </c>
      <c r="CN238" s="137">
        <v>242458</v>
      </c>
      <c r="CO238" s="137">
        <v>259282</v>
      </c>
    </row>
    <row r="239" spans="63:93" ht="28" customHeight="1" x14ac:dyDescent="0.35">
      <c r="BK239" s="81" t="str">
        <f>BO239</f>
        <v>TOTAL DO ATIVO</v>
      </c>
      <c r="BO239" s="39" t="s">
        <v>241</v>
      </c>
      <c r="BP239" s="80">
        <f>IFERROR(SUM(BP221,BP206),0)</f>
        <v>70861249</v>
      </c>
      <c r="BQ239" s="80">
        <f>IFERROR(SUM(BQ221,BQ206),0)</f>
        <v>68174293</v>
      </c>
      <c r="BR239" s="80">
        <f>IFERROR(SUM(BR221,BR206),0)</f>
        <v>67028076</v>
      </c>
      <c r="BS239" s="80">
        <f t="shared" ref="BS239:CO239" si="28">SUM(BS221,BS206)</f>
        <v>64750143</v>
      </c>
      <c r="BT239" s="80">
        <f t="shared" si="28"/>
        <v>63411229</v>
      </c>
      <c r="BU239" s="80">
        <f t="shared" si="28"/>
        <v>63901931</v>
      </c>
      <c r="BV239" s="80">
        <f t="shared" si="28"/>
        <v>59726836</v>
      </c>
      <c r="BW239" s="80">
        <f t="shared" si="28"/>
        <v>63006898</v>
      </c>
      <c r="BX239" s="80">
        <f t="shared" si="28"/>
        <v>56740773</v>
      </c>
      <c r="BY239" s="80">
        <f t="shared" si="28"/>
        <v>57442030</v>
      </c>
      <c r="BZ239" s="80">
        <f t="shared" si="28"/>
        <v>55000080</v>
      </c>
      <c r="CA239" s="80">
        <f t="shared" si="28"/>
        <v>56165430</v>
      </c>
      <c r="CB239" s="80">
        <f t="shared" si="28"/>
        <v>54543064</v>
      </c>
      <c r="CC239" s="80">
        <f t="shared" si="28"/>
        <v>54085360</v>
      </c>
      <c r="CD239" s="80">
        <f t="shared" si="28"/>
        <v>53670837</v>
      </c>
      <c r="CE239" s="80">
        <f t="shared" si="28"/>
        <v>54514041</v>
      </c>
      <c r="CF239" s="80">
        <f t="shared" si="28"/>
        <v>53221386</v>
      </c>
      <c r="CG239" s="80">
        <f t="shared" si="28"/>
        <v>51067392</v>
      </c>
      <c r="CH239" s="80">
        <f t="shared" si="28"/>
        <v>52045808</v>
      </c>
      <c r="CI239" s="80">
        <f t="shared" si="28"/>
        <v>53116666</v>
      </c>
      <c r="CJ239" s="80">
        <f t="shared" si="28"/>
        <v>53839254</v>
      </c>
      <c r="CK239" s="80">
        <f t="shared" si="28"/>
        <v>53011054</v>
      </c>
      <c r="CL239" s="80">
        <f t="shared" si="28"/>
        <v>54083080</v>
      </c>
      <c r="CM239" s="80">
        <f t="shared" si="28"/>
        <v>53326157</v>
      </c>
      <c r="CN239" s="80">
        <f t="shared" si="28"/>
        <v>52535140</v>
      </c>
      <c r="CO239" s="80">
        <f t="shared" si="28"/>
        <v>50381487</v>
      </c>
    </row>
    <row r="240" spans="63:93" ht="19" customHeight="1" x14ac:dyDescent="0.35">
      <c r="BK240" s="81"/>
      <c r="BM240" s="390"/>
    </row>
    <row r="241" spans="63:93" ht="35.15" customHeight="1" x14ac:dyDescent="0.35">
      <c r="BK241" s="81" t="str">
        <f t="shared" ref="BK241:BK242" si="29">BO241</f>
        <v>PASSIVO</v>
      </c>
      <c r="BL241" s="81"/>
      <c r="BO241" s="169" t="s">
        <v>236</v>
      </c>
      <c r="BP241" s="166" t="str">
        <f t="shared" ref="BP241:CO241" si="30">BP205</f>
        <v>jun | 2026</v>
      </c>
      <c r="BQ241" s="166" t="str">
        <f t="shared" si="30"/>
        <v>mar | 2026</v>
      </c>
      <c r="BR241" s="166" t="str">
        <f t="shared" si="30"/>
        <v>dez | 2025</v>
      </c>
      <c r="BS241" s="166" t="str">
        <f t="shared" si="30"/>
        <v>set | 2025</v>
      </c>
      <c r="BT241" s="166" t="str">
        <f t="shared" si="30"/>
        <v>jun | 2025</v>
      </c>
      <c r="BU241" s="166" t="str">
        <f t="shared" si="30"/>
        <v>mar | 2025</v>
      </c>
      <c r="BV241" s="166" t="str">
        <f t="shared" si="30"/>
        <v>dez | 2024</v>
      </c>
      <c r="BW241" s="166" t="str">
        <f t="shared" si="30"/>
        <v>set | 2024</v>
      </c>
      <c r="BX241" s="166" t="str">
        <f t="shared" si="30"/>
        <v>jun | 2024</v>
      </c>
      <c r="BY241" s="166" t="str">
        <f t="shared" si="30"/>
        <v>mar | 2024</v>
      </c>
      <c r="BZ241" s="166" t="str">
        <f t="shared" si="30"/>
        <v>dez | 2023</v>
      </c>
      <c r="CA241" s="166" t="str">
        <f t="shared" si="30"/>
        <v>set | 2023</v>
      </c>
      <c r="CB241" s="166" t="str">
        <f t="shared" si="30"/>
        <v>jun | 2023</v>
      </c>
      <c r="CC241" s="166" t="str">
        <f t="shared" si="30"/>
        <v>mar | 2023</v>
      </c>
      <c r="CD241" s="166" t="str">
        <f t="shared" si="30"/>
        <v>dez | 2022</v>
      </c>
      <c r="CE241" s="166" t="str">
        <f t="shared" si="30"/>
        <v>set | 2022</v>
      </c>
      <c r="CF241" s="166" t="str">
        <f t="shared" si="30"/>
        <v>jun | 2022</v>
      </c>
      <c r="CG241" s="166" t="str">
        <f t="shared" si="30"/>
        <v>mar | 2022</v>
      </c>
      <c r="CH241" s="166" t="str">
        <f t="shared" si="30"/>
        <v>dez | 2021</v>
      </c>
      <c r="CI241" s="166" t="str">
        <f t="shared" si="30"/>
        <v>set | 2021</v>
      </c>
      <c r="CJ241" s="166" t="str">
        <f t="shared" si="30"/>
        <v>jun | 2021</v>
      </c>
      <c r="CK241" s="166" t="str">
        <f t="shared" si="30"/>
        <v>mar | 2021</v>
      </c>
      <c r="CL241" s="166" t="str">
        <f t="shared" si="30"/>
        <v>dez | 2020</v>
      </c>
      <c r="CM241" s="166" t="str">
        <f t="shared" si="30"/>
        <v>set | 2020</v>
      </c>
      <c r="CN241" s="166" t="str">
        <f t="shared" si="30"/>
        <v>jun | 2020</v>
      </c>
      <c r="CO241" s="166" t="str">
        <f t="shared" si="30"/>
        <v>mar | 2020</v>
      </c>
    </row>
    <row r="242" spans="63:93" ht="23.15" customHeight="1" x14ac:dyDescent="0.35">
      <c r="BK242" s="81" t="str">
        <f t="shared" si="29"/>
        <v>CIRCULANTE</v>
      </c>
      <c r="BL242" s="81"/>
      <c r="BO242" s="17" t="s">
        <v>237</v>
      </c>
      <c r="BP242" s="24">
        <f t="shared" ref="BP242:BQ242" si="31">IFERROR(SUM(BP243:BP260),0)</f>
        <v>13463402</v>
      </c>
      <c r="BQ242" s="24">
        <f t="shared" si="31"/>
        <v>15478646</v>
      </c>
      <c r="BR242" s="24">
        <f>IFERROR(SUM(BR243:BR260),0)</f>
        <v>14462505</v>
      </c>
      <c r="BS242" s="24">
        <f>IFERROR(SUM(BS243:BS260),0)</f>
        <v>14883615</v>
      </c>
      <c r="BT242" s="24">
        <f t="shared" ref="BT242:CO242" si="32">IFERROR(SUM(BT243:BT260),0)</f>
        <v>13673082</v>
      </c>
      <c r="BU242" s="24">
        <f t="shared" si="32"/>
        <v>14603289</v>
      </c>
      <c r="BV242" s="24">
        <f t="shared" si="32"/>
        <v>14145808</v>
      </c>
      <c r="BW242" s="24">
        <f t="shared" si="32"/>
        <v>15595521</v>
      </c>
      <c r="BX242" s="24">
        <f t="shared" si="32"/>
        <v>13627251</v>
      </c>
      <c r="BY242" s="24">
        <f t="shared" si="32"/>
        <v>12847991</v>
      </c>
      <c r="BZ242" s="24">
        <f t="shared" si="32"/>
        <v>13092816</v>
      </c>
      <c r="CA242" s="24">
        <f t="shared" si="32"/>
        <v>10715700</v>
      </c>
      <c r="CB242" s="24">
        <f t="shared" si="32"/>
        <v>10127642</v>
      </c>
      <c r="CC242" s="24">
        <f t="shared" si="32"/>
        <v>11021804</v>
      </c>
      <c r="CD242" s="24">
        <f t="shared" si="32"/>
        <v>11205178</v>
      </c>
      <c r="CE242" s="24">
        <f t="shared" si="32"/>
        <v>11571685</v>
      </c>
      <c r="CF242" s="24">
        <f t="shared" si="32"/>
        <v>11192265</v>
      </c>
      <c r="CG242" s="24">
        <f t="shared" si="32"/>
        <v>9652870</v>
      </c>
      <c r="CH242" s="24">
        <f t="shared" si="32"/>
        <v>10687593</v>
      </c>
      <c r="CI242" s="24">
        <f t="shared" si="32"/>
        <v>10494484</v>
      </c>
      <c r="CJ242" s="24">
        <f t="shared" si="32"/>
        <v>9547297</v>
      </c>
      <c r="CK242" s="24">
        <f t="shared" si="32"/>
        <v>9057956</v>
      </c>
      <c r="CL242" s="24">
        <f t="shared" si="32"/>
        <v>9690215</v>
      </c>
      <c r="CM242" s="24">
        <f t="shared" si="32"/>
        <v>9078759</v>
      </c>
      <c r="CN242" s="24">
        <f t="shared" si="32"/>
        <v>9053151</v>
      </c>
      <c r="CO242" s="24">
        <f t="shared" si="32"/>
        <v>7755098</v>
      </c>
    </row>
    <row r="243" spans="63:93" ht="19" customHeight="1" x14ac:dyDescent="0.35">
      <c r="BK243" s="1" t="str">
        <f t="shared" ref="BK243:BK260" si="33">_xlfn.CONCAT($BO$203,"|",$BO$241,"|",$BO$242,"|",BO243)</f>
        <v>CEMIG|PASSIVO|CIRCULANTE|Fornecedores</v>
      </c>
      <c r="BM243" s="390"/>
      <c r="BO243" s="6" t="s">
        <v>294</v>
      </c>
      <c r="BP243" s="25">
        <v>3143900</v>
      </c>
      <c r="BQ243" s="25">
        <v>3165012</v>
      </c>
      <c r="BR243" s="25">
        <v>3039004</v>
      </c>
      <c r="BS243" s="25">
        <v>3297521</v>
      </c>
      <c r="BT243" s="25">
        <v>3080310</v>
      </c>
      <c r="BU243" s="25">
        <v>2981341</v>
      </c>
      <c r="BV243" s="25">
        <v>2951571</v>
      </c>
      <c r="BW243" s="25">
        <v>3159525</v>
      </c>
      <c r="BX243" s="25">
        <v>2759683</v>
      </c>
      <c r="BY243" s="25">
        <v>2667047</v>
      </c>
      <c r="BZ243" s="25">
        <v>3016696</v>
      </c>
      <c r="CA243" s="25">
        <v>2783365</v>
      </c>
      <c r="CB243" s="25">
        <v>2492971</v>
      </c>
      <c r="CC243" s="25">
        <v>2447668</v>
      </c>
      <c r="CD243" s="25">
        <v>2832049</v>
      </c>
      <c r="CE243" s="25">
        <v>2740736</v>
      </c>
      <c r="CF243" s="25">
        <v>2385580</v>
      </c>
      <c r="CG243" s="25">
        <v>2242655</v>
      </c>
      <c r="CH243" s="25">
        <v>2683343</v>
      </c>
      <c r="CI243" s="25">
        <v>3370554</v>
      </c>
      <c r="CJ243" s="25">
        <v>2381696</v>
      </c>
      <c r="CK243" s="25">
        <v>1956774</v>
      </c>
      <c r="CL243" s="25">
        <v>2358320</v>
      </c>
      <c r="CM243" s="25">
        <v>1991051</v>
      </c>
      <c r="CN243" s="25">
        <v>1945496</v>
      </c>
      <c r="CO243" s="25">
        <v>1722772</v>
      </c>
    </row>
    <row r="244" spans="63:93" ht="19" customHeight="1" x14ac:dyDescent="0.35">
      <c r="BK244" s="1" t="str">
        <f t="shared" si="33"/>
        <v>CEMIG|PASSIVO|CIRCULANTE|Encargos regulatórios</v>
      </c>
      <c r="BM244" s="390"/>
      <c r="BO244" s="6" t="s">
        <v>295</v>
      </c>
      <c r="BP244" s="25">
        <v>408670</v>
      </c>
      <c r="BQ244" s="25">
        <v>431685</v>
      </c>
      <c r="BR244" s="25">
        <v>441269</v>
      </c>
      <c r="BS244" s="25">
        <v>493211</v>
      </c>
      <c r="BT244" s="25">
        <v>462985</v>
      </c>
      <c r="BU244" s="25">
        <v>417280</v>
      </c>
      <c r="BV244" s="25">
        <v>343944</v>
      </c>
      <c r="BW244" s="25">
        <v>356501</v>
      </c>
      <c r="BX244" s="25">
        <v>388031</v>
      </c>
      <c r="BY244" s="25">
        <v>453044</v>
      </c>
      <c r="BZ244" s="25">
        <v>487241</v>
      </c>
      <c r="CA244" s="25">
        <v>531494</v>
      </c>
      <c r="CB244" s="25">
        <v>540623</v>
      </c>
      <c r="CC244" s="25">
        <v>530616</v>
      </c>
      <c r="CD244" s="25">
        <v>510247</v>
      </c>
      <c r="CE244" s="25">
        <v>540031</v>
      </c>
      <c r="CF244" s="25">
        <v>551046</v>
      </c>
      <c r="CG244" s="25">
        <v>491293</v>
      </c>
      <c r="CH244" s="25">
        <v>610695</v>
      </c>
      <c r="CI244" s="25">
        <v>659433</v>
      </c>
      <c r="CJ244" s="25">
        <v>600418</v>
      </c>
      <c r="CK244" s="25">
        <v>589439</v>
      </c>
      <c r="CL244" s="25">
        <v>445807</v>
      </c>
      <c r="CM244" s="25">
        <v>387141</v>
      </c>
      <c r="CN244" s="25">
        <v>377372</v>
      </c>
      <c r="CO244" s="25">
        <v>448177</v>
      </c>
    </row>
    <row r="245" spans="63:93" ht="19" customHeight="1" x14ac:dyDescent="0.35">
      <c r="BK245" s="1" t="str">
        <f t="shared" si="33"/>
        <v>CEMIG|PASSIVO|CIRCULANTE|Participação dos empregados e administradores no resultado</v>
      </c>
      <c r="BM245" s="390"/>
      <c r="BO245" s="6" t="s">
        <v>75</v>
      </c>
      <c r="BP245" s="25">
        <v>97330</v>
      </c>
      <c r="BQ245" s="25">
        <v>181549</v>
      </c>
      <c r="BR245" s="25">
        <v>136100</v>
      </c>
      <c r="BS245" s="25">
        <v>130602</v>
      </c>
      <c r="BT245" s="25">
        <v>92893</v>
      </c>
      <c r="BU245" s="25">
        <v>154217</v>
      </c>
      <c r="BV245" s="25">
        <v>111045</v>
      </c>
      <c r="BW245" s="25">
        <v>126481</v>
      </c>
      <c r="BX245" s="25">
        <v>87913</v>
      </c>
      <c r="BY245" s="25">
        <v>207174</v>
      </c>
      <c r="BZ245" s="25">
        <v>164761</v>
      </c>
      <c r="CA245" s="25">
        <v>120919</v>
      </c>
      <c r="CB245" s="25">
        <v>80311</v>
      </c>
      <c r="CC245" s="25">
        <v>146507</v>
      </c>
      <c r="CD245" s="25">
        <v>105207</v>
      </c>
      <c r="CE245" s="25">
        <v>125365</v>
      </c>
      <c r="CF245" s="25">
        <v>99601</v>
      </c>
      <c r="CG245" s="25">
        <v>176329</v>
      </c>
      <c r="CH245" s="25">
        <v>136580</v>
      </c>
      <c r="CI245" s="25">
        <v>109903</v>
      </c>
      <c r="CJ245" s="25">
        <v>66788</v>
      </c>
      <c r="CK245" s="25">
        <v>147269</v>
      </c>
      <c r="CL245" s="25">
        <v>121865</v>
      </c>
      <c r="CM245" s="25">
        <v>99644</v>
      </c>
      <c r="CN245" s="25">
        <v>200715</v>
      </c>
      <c r="CO245" s="25">
        <v>197483</v>
      </c>
    </row>
    <row r="246" spans="63:93" ht="19" customHeight="1" x14ac:dyDescent="0.35">
      <c r="BK246" s="1" t="str">
        <f t="shared" si="33"/>
        <v>CEMIG|PASSIVO|CIRCULANTE|Impostos, taxas e contribuições</v>
      </c>
      <c r="BM246" s="390"/>
      <c r="BO246" s="6" t="s">
        <v>296</v>
      </c>
      <c r="BP246" s="25">
        <v>747103</v>
      </c>
      <c r="BQ246" s="25">
        <v>772617</v>
      </c>
      <c r="BR246" s="25">
        <v>745945</v>
      </c>
      <c r="BS246" s="25">
        <v>734196</v>
      </c>
      <c r="BT246" s="25">
        <v>749371</v>
      </c>
      <c r="BU246" s="25">
        <v>674173</v>
      </c>
      <c r="BV246" s="25">
        <v>724521</v>
      </c>
      <c r="BW246" s="25">
        <v>605683</v>
      </c>
      <c r="BX246" s="25">
        <v>550599</v>
      </c>
      <c r="BY246" s="25">
        <v>535375</v>
      </c>
      <c r="BZ246" s="25">
        <v>643623</v>
      </c>
      <c r="CA246" s="25">
        <v>546699</v>
      </c>
      <c r="CB246" s="25">
        <v>884370</v>
      </c>
      <c r="CC246" s="25">
        <v>908844</v>
      </c>
      <c r="CD246" s="25">
        <v>544146</v>
      </c>
      <c r="CE246" s="25">
        <v>430905</v>
      </c>
      <c r="CF246" s="25">
        <v>418173</v>
      </c>
      <c r="CG246" s="25">
        <v>466486</v>
      </c>
      <c r="CH246" s="25">
        <v>528096</v>
      </c>
      <c r="CI246" s="25">
        <v>491421</v>
      </c>
      <c r="CJ246" s="25">
        <v>440877</v>
      </c>
      <c r="CK246" s="25">
        <v>472805</v>
      </c>
      <c r="CL246" s="25">
        <v>505739</v>
      </c>
      <c r="CM246" s="25">
        <v>492365</v>
      </c>
      <c r="CN246" s="25">
        <v>622514</v>
      </c>
      <c r="CO246" s="25">
        <v>313569</v>
      </c>
    </row>
    <row r="247" spans="63:93" ht="19" customHeight="1" x14ac:dyDescent="0.35">
      <c r="BK247" s="1" t="str">
        <f t="shared" si="33"/>
        <v>CEMIG|PASSIVO|CIRCULANTE|Imposto de renda e contribuição social</v>
      </c>
      <c r="BM247" s="390"/>
      <c r="BO247" s="6" t="s">
        <v>15</v>
      </c>
      <c r="BP247" s="25">
        <v>64671</v>
      </c>
      <c r="BQ247" s="25">
        <v>92288</v>
      </c>
      <c r="BR247" s="25">
        <v>133299</v>
      </c>
      <c r="BS247" s="25">
        <v>192265</v>
      </c>
      <c r="BT247" s="25">
        <v>159260</v>
      </c>
      <c r="BU247" s="25">
        <v>128127</v>
      </c>
      <c r="BV247" s="25">
        <v>162975</v>
      </c>
      <c r="BW247" s="25">
        <v>799516</v>
      </c>
      <c r="BX247" s="25">
        <v>134410</v>
      </c>
      <c r="BY247" s="25">
        <v>48239</v>
      </c>
      <c r="BZ247" s="25">
        <v>111232</v>
      </c>
      <c r="CA247" s="25">
        <v>78159</v>
      </c>
      <c r="CB247" s="25">
        <v>111667</v>
      </c>
      <c r="CC247" s="25">
        <v>253607</v>
      </c>
      <c r="CD247" s="25">
        <v>239674</v>
      </c>
      <c r="CE247" s="25">
        <v>260059</v>
      </c>
      <c r="CF247" s="25">
        <v>217182</v>
      </c>
      <c r="CG247" s="25">
        <v>184834</v>
      </c>
      <c r="CH247" s="25">
        <v>190002</v>
      </c>
      <c r="CI247" s="25">
        <v>191182</v>
      </c>
      <c r="CJ247" s="25">
        <v>143198</v>
      </c>
      <c r="CK247" s="25">
        <v>76529</v>
      </c>
      <c r="CL247" s="25">
        <v>140058</v>
      </c>
      <c r="CM247" s="25">
        <v>100899</v>
      </c>
      <c r="CN247" s="25">
        <v>65605</v>
      </c>
      <c r="CO247" s="25">
        <v>46431</v>
      </c>
    </row>
    <row r="248" spans="63:93" ht="19" customHeight="1" x14ac:dyDescent="0.35">
      <c r="BK248" s="1" t="str">
        <f t="shared" si="33"/>
        <v>CEMIG|PASSIVO|CIRCULANTE|Juros sobre capital próprio e dividendos a pagar</v>
      </c>
      <c r="BM248" s="390"/>
      <c r="BO248" s="6" t="s">
        <v>297</v>
      </c>
      <c r="BP248" s="25">
        <v>2668464</v>
      </c>
      <c r="BQ248" s="25">
        <v>3515505</v>
      </c>
      <c r="BR248" s="25">
        <v>2928378</v>
      </c>
      <c r="BS248" s="25">
        <v>3413378</v>
      </c>
      <c r="BT248" s="25">
        <v>2865571</v>
      </c>
      <c r="BU248" s="25">
        <v>4100466</v>
      </c>
      <c r="BV248" s="25">
        <v>3611198</v>
      </c>
      <c r="BW248" s="25">
        <v>2658565</v>
      </c>
      <c r="BX248" s="25">
        <v>2227157</v>
      </c>
      <c r="BY248" s="25">
        <v>3310765</v>
      </c>
      <c r="BZ248" s="25">
        <v>2924430</v>
      </c>
      <c r="CA248" s="25">
        <v>2101947</v>
      </c>
      <c r="CB248" s="25">
        <v>1722915</v>
      </c>
      <c r="CC248" s="25">
        <v>2246458</v>
      </c>
      <c r="CD248" s="25">
        <v>1862798</v>
      </c>
      <c r="CE248" s="25">
        <v>1945118</v>
      </c>
      <c r="CF248" s="25">
        <v>1517328</v>
      </c>
      <c r="CG248" s="25">
        <v>2130995</v>
      </c>
      <c r="CH248" s="25">
        <v>1909050</v>
      </c>
      <c r="CI248" s="25">
        <v>747757</v>
      </c>
      <c r="CJ248" s="25">
        <v>748284</v>
      </c>
      <c r="CK248" s="25">
        <v>1448818</v>
      </c>
      <c r="CL248" s="25">
        <v>1448846</v>
      </c>
      <c r="CM248" s="25">
        <v>854246</v>
      </c>
      <c r="CN248" s="25">
        <v>745864</v>
      </c>
      <c r="CO248" s="25">
        <v>745642</v>
      </c>
    </row>
    <row r="249" spans="63:93" ht="19" customHeight="1" x14ac:dyDescent="0.35">
      <c r="BK249" s="1" t="str">
        <f t="shared" si="33"/>
        <v>CEMIG|PASSIVO|CIRCULANTE|Debêntures</v>
      </c>
      <c r="BM249" s="390"/>
      <c r="BO249" s="6" t="s">
        <v>298</v>
      </c>
      <c r="BP249" s="25">
        <v>1519180</v>
      </c>
      <c r="BQ249" s="25">
        <v>3083137</v>
      </c>
      <c r="BR249" s="25">
        <v>3051643</v>
      </c>
      <c r="BS249" s="25">
        <v>2982371</v>
      </c>
      <c r="BT249" s="25">
        <v>2747228</v>
      </c>
      <c r="BU249" s="25">
        <v>2635806</v>
      </c>
      <c r="BV249" s="25">
        <v>2876548</v>
      </c>
      <c r="BW249" s="25">
        <v>4795244</v>
      </c>
      <c r="BX249" s="25">
        <v>4657882</v>
      </c>
      <c r="BY249" s="25">
        <v>2713786</v>
      </c>
      <c r="BZ249" s="25">
        <v>2629708</v>
      </c>
      <c r="CA249" s="25">
        <v>1162186</v>
      </c>
      <c r="CB249" s="25">
        <v>951750</v>
      </c>
      <c r="CC249" s="25">
        <v>1091484</v>
      </c>
      <c r="CD249" s="25">
        <v>955497</v>
      </c>
      <c r="CE249" s="25">
        <v>1188699</v>
      </c>
      <c r="CF249" s="25">
        <v>1003209</v>
      </c>
      <c r="CG249" s="25">
        <v>1121332</v>
      </c>
      <c r="CH249" s="25">
        <v>1465133</v>
      </c>
      <c r="CI249" s="25">
        <v>1569440</v>
      </c>
      <c r="CJ249" s="25">
        <v>1409378</v>
      </c>
      <c r="CK249" s="25">
        <v>1628278</v>
      </c>
      <c r="CL249" s="25">
        <v>2059315</v>
      </c>
      <c r="CM249" s="25">
        <v>2373644</v>
      </c>
      <c r="CN249" s="25">
        <v>3001664</v>
      </c>
      <c r="CO249" s="25">
        <v>3069072</v>
      </c>
    </row>
    <row r="250" spans="63:93" ht="19" customHeight="1" x14ac:dyDescent="0.35">
      <c r="BK250" s="1" t="str">
        <f t="shared" si="33"/>
        <v>CEMIG|PASSIVO|CIRCULANTE|Salários e contribuições sociais</v>
      </c>
      <c r="BM250" s="390"/>
      <c r="BO250" s="6" t="s">
        <v>299</v>
      </c>
      <c r="BP250" s="25">
        <v>282121</v>
      </c>
      <c r="BQ250" s="25">
        <v>214998</v>
      </c>
      <c r="BR250" s="25">
        <v>229611</v>
      </c>
      <c r="BS250" s="25">
        <v>265108</v>
      </c>
      <c r="BT250" s="25">
        <v>255802</v>
      </c>
      <c r="BU250" s="25">
        <v>210108</v>
      </c>
      <c r="BV250" s="25">
        <v>217415</v>
      </c>
      <c r="BW250" s="25">
        <v>306508</v>
      </c>
      <c r="BX250" s="25">
        <v>338917</v>
      </c>
      <c r="BY250" s="25">
        <v>231113</v>
      </c>
      <c r="BZ250" s="25">
        <v>238749</v>
      </c>
      <c r="CA250" s="25">
        <v>246979</v>
      </c>
      <c r="CB250" s="25">
        <v>233218</v>
      </c>
      <c r="CC250" s="25">
        <v>232002</v>
      </c>
      <c r="CD250" s="25">
        <v>260015</v>
      </c>
      <c r="CE250" s="25">
        <v>260746</v>
      </c>
      <c r="CF250" s="25">
        <v>263971</v>
      </c>
      <c r="CG250" s="25">
        <v>207030</v>
      </c>
      <c r="CH250" s="25">
        <v>225189</v>
      </c>
      <c r="CI250" s="25">
        <v>233151</v>
      </c>
      <c r="CJ250" s="25">
        <v>239834</v>
      </c>
      <c r="CK250" s="25">
        <v>190448</v>
      </c>
      <c r="CL250" s="25">
        <v>212755</v>
      </c>
      <c r="CM250" s="25">
        <v>237996</v>
      </c>
      <c r="CN250" s="25">
        <v>234073</v>
      </c>
      <c r="CO250" s="25">
        <v>186238</v>
      </c>
    </row>
    <row r="251" spans="63:93" ht="19" customHeight="1" x14ac:dyDescent="0.35">
      <c r="BK251" s="1" t="str">
        <f t="shared" si="33"/>
        <v>CEMIG|PASSIVO|CIRCULANTE|Contribuição de iluminação pública</v>
      </c>
      <c r="BM251" s="390"/>
      <c r="BO251" s="6" t="s">
        <v>281</v>
      </c>
      <c r="BP251" s="25">
        <v>533029</v>
      </c>
      <c r="BQ251" s="25">
        <v>525086</v>
      </c>
      <c r="BR251" s="25">
        <v>542704</v>
      </c>
      <c r="BS251" s="25">
        <v>539632</v>
      </c>
      <c r="BT251" s="25">
        <v>496942</v>
      </c>
      <c r="BU251" s="25">
        <v>480505</v>
      </c>
      <c r="BV251" s="25">
        <v>475032</v>
      </c>
      <c r="BW251" s="25">
        <v>435596</v>
      </c>
      <c r="BX251" s="25">
        <v>410341</v>
      </c>
      <c r="BY251" s="25">
        <v>419029</v>
      </c>
      <c r="BZ251" s="25">
        <v>424713</v>
      </c>
      <c r="CA251" s="25">
        <v>384611</v>
      </c>
      <c r="CB251" s="25">
        <v>372093</v>
      </c>
      <c r="CC251" s="25">
        <v>330992</v>
      </c>
      <c r="CD251" s="25">
        <v>312475</v>
      </c>
      <c r="CE251" s="25">
        <v>290352</v>
      </c>
      <c r="CF251" s="25">
        <v>291510</v>
      </c>
      <c r="CG251" s="25">
        <v>376412</v>
      </c>
      <c r="CH251" s="25">
        <v>357105</v>
      </c>
      <c r="CI251" s="25">
        <v>334804</v>
      </c>
      <c r="CJ251" s="25">
        <v>282268</v>
      </c>
      <c r="CK251" s="25">
        <v>268843</v>
      </c>
      <c r="CL251" s="25">
        <v>304869</v>
      </c>
      <c r="CM251" s="25">
        <v>233749</v>
      </c>
      <c r="CN251" s="25">
        <v>238295</v>
      </c>
      <c r="CO251" s="25">
        <v>247967</v>
      </c>
    </row>
    <row r="252" spans="63:93" ht="19" customHeight="1" x14ac:dyDescent="0.35">
      <c r="BK252" s="1" t="str">
        <f t="shared" si="33"/>
        <v>CEMIG|PASSIVO|CIRCULANTE|Obrigações relacionadas a energia gerada por consumidores</v>
      </c>
      <c r="BM252" s="390"/>
      <c r="BO252" s="6" t="s">
        <v>300</v>
      </c>
      <c r="BP252" s="62">
        <v>1942669</v>
      </c>
      <c r="BQ252" s="62">
        <v>1868040</v>
      </c>
      <c r="BR252" s="62">
        <v>1825274</v>
      </c>
      <c r="BS252" s="25">
        <v>1739449</v>
      </c>
      <c r="BT252" s="25">
        <v>1640563</v>
      </c>
      <c r="BU252" s="25">
        <v>1434732</v>
      </c>
      <c r="BV252" s="25">
        <v>1251298</v>
      </c>
      <c r="BW252" s="25">
        <v>1145073</v>
      </c>
      <c r="BX252" s="25">
        <v>967329</v>
      </c>
      <c r="BY252" s="25">
        <v>781661</v>
      </c>
      <c r="BZ252" s="25">
        <v>704653</v>
      </c>
      <c r="CA252" s="25">
        <v>608389</v>
      </c>
      <c r="CB252" s="25">
        <v>510559</v>
      </c>
      <c r="CC252" s="25">
        <v>563397</v>
      </c>
      <c r="CD252" s="25">
        <v>455273</v>
      </c>
      <c r="CE252" s="25">
        <v>0</v>
      </c>
      <c r="CF252" s="25">
        <v>0</v>
      </c>
      <c r="CG252" s="25">
        <v>0</v>
      </c>
      <c r="CH252" s="25">
        <v>0</v>
      </c>
      <c r="CI252" s="25">
        <v>0</v>
      </c>
      <c r="CJ252" s="25">
        <v>0</v>
      </c>
      <c r="CK252" s="25">
        <v>0</v>
      </c>
      <c r="CL252" s="25">
        <v>0</v>
      </c>
      <c r="CM252" s="25">
        <v>0</v>
      </c>
      <c r="CN252" s="25">
        <v>0</v>
      </c>
      <c r="CO252" s="25">
        <v>0</v>
      </c>
    </row>
    <row r="253" spans="63:93" ht="19" customHeight="1" x14ac:dyDescent="0.35">
      <c r="BK253" s="1" t="str">
        <f t="shared" si="33"/>
        <v>CEMIG|PASSIVO|CIRCULANTE|Obrigações Pós-emprego</v>
      </c>
      <c r="BM253" s="390"/>
      <c r="BO253" s="6" t="s">
        <v>124</v>
      </c>
      <c r="BP253" s="25">
        <v>155096</v>
      </c>
      <c r="BQ253" s="25">
        <v>142547</v>
      </c>
      <c r="BR253" s="25">
        <v>130155</v>
      </c>
      <c r="BS253" s="25">
        <v>212129</v>
      </c>
      <c r="BT253" s="25">
        <v>218428</v>
      </c>
      <c r="BU253" s="25">
        <v>190546</v>
      </c>
      <c r="BV253" s="25">
        <v>232898</v>
      </c>
      <c r="BW253" s="25">
        <v>226626</v>
      </c>
      <c r="BX253" s="25">
        <v>229109</v>
      </c>
      <c r="BY253" s="25">
        <v>282200</v>
      </c>
      <c r="BZ253" s="25">
        <v>328621</v>
      </c>
      <c r="CA253" s="25">
        <v>374385</v>
      </c>
      <c r="CB253" s="25">
        <v>408023</v>
      </c>
      <c r="CC253" s="25">
        <v>399078</v>
      </c>
      <c r="CD253" s="25">
        <v>388447</v>
      </c>
      <c r="CE253" s="25">
        <v>374460</v>
      </c>
      <c r="CF253" s="25">
        <v>366545</v>
      </c>
      <c r="CG253" s="25">
        <v>352358</v>
      </c>
      <c r="CH253" s="25">
        <v>346733</v>
      </c>
      <c r="CI253" s="25">
        <v>333587</v>
      </c>
      <c r="CJ253" s="25">
        <v>324307</v>
      </c>
      <c r="CK253" s="25">
        <v>313392</v>
      </c>
      <c r="CL253" s="25">
        <v>304551</v>
      </c>
      <c r="CM253" s="25">
        <v>296686</v>
      </c>
      <c r="CN253" s="25">
        <v>311265</v>
      </c>
      <c r="CO253" s="25">
        <v>290319</v>
      </c>
    </row>
    <row r="254" spans="63:93" ht="19" customHeight="1" x14ac:dyDescent="0.35">
      <c r="BK254" s="1" t="str">
        <f t="shared" si="33"/>
        <v>CEMIG|PASSIVO|CIRCULANTE|Indenização Compensatória</v>
      </c>
      <c r="BM254" s="390"/>
      <c r="BO254" s="6" t="s">
        <v>302</v>
      </c>
      <c r="BP254" s="25">
        <v>208337</v>
      </c>
      <c r="BQ254" s="25">
        <v>208337</v>
      </c>
      <c r="BR254" s="25">
        <v>417705</v>
      </c>
      <c r="BS254" s="25">
        <v>0</v>
      </c>
      <c r="BT254" s="25">
        <v>0</v>
      </c>
      <c r="BU254" s="25">
        <v>0</v>
      </c>
      <c r="BV254" s="25">
        <v>0</v>
      </c>
      <c r="BW254" s="25">
        <v>0</v>
      </c>
      <c r="BX254" s="25">
        <v>0</v>
      </c>
      <c r="BY254" s="25">
        <v>0</v>
      </c>
      <c r="BZ254" s="25">
        <v>0</v>
      </c>
      <c r="CA254" s="25">
        <v>0</v>
      </c>
      <c r="CB254" s="25">
        <v>0</v>
      </c>
      <c r="CC254" s="25">
        <v>0</v>
      </c>
      <c r="CD254" s="25">
        <v>0</v>
      </c>
      <c r="CE254" s="25">
        <v>0</v>
      </c>
      <c r="CF254" s="25">
        <v>0</v>
      </c>
      <c r="CG254" s="25">
        <v>0</v>
      </c>
      <c r="CH254" s="25">
        <v>0</v>
      </c>
      <c r="CI254" s="25">
        <v>0</v>
      </c>
      <c r="CJ254" s="25">
        <v>0</v>
      </c>
      <c r="CK254" s="25">
        <v>0</v>
      </c>
      <c r="CL254" s="25">
        <v>0</v>
      </c>
      <c r="CM254" s="25">
        <v>0</v>
      </c>
      <c r="CN254" s="25">
        <v>0</v>
      </c>
      <c r="CO254" s="25">
        <v>0</v>
      </c>
    </row>
    <row r="255" spans="63:93" ht="19" customHeight="1" x14ac:dyDescent="0.35">
      <c r="BK255" s="1" t="str">
        <f t="shared" si="33"/>
        <v>CEMIG|PASSIVO|CIRCULANTE|Passivo financeiro da concessão</v>
      </c>
      <c r="BO255" s="6" t="s">
        <v>303</v>
      </c>
      <c r="BP255" s="25">
        <v>0</v>
      </c>
      <c r="BQ255" s="25">
        <v>0</v>
      </c>
      <c r="BR255" s="25">
        <v>0</v>
      </c>
      <c r="BS255" s="25">
        <v>0</v>
      </c>
      <c r="BT255" s="25">
        <v>0</v>
      </c>
      <c r="BU255" s="25">
        <v>19678</v>
      </c>
      <c r="BV255" s="25">
        <v>16470</v>
      </c>
      <c r="BW255" s="25">
        <v>0</v>
      </c>
      <c r="BX255" s="25">
        <v>0</v>
      </c>
      <c r="BY255" s="25">
        <v>0</v>
      </c>
      <c r="BZ255" s="25">
        <v>0</v>
      </c>
      <c r="CA255" s="25">
        <v>0</v>
      </c>
      <c r="CB255" s="25">
        <v>0</v>
      </c>
      <c r="CC255" s="25">
        <v>0</v>
      </c>
      <c r="CD255" s="25">
        <v>0</v>
      </c>
      <c r="CE255" s="25">
        <v>0</v>
      </c>
      <c r="CF255" s="25">
        <v>0</v>
      </c>
      <c r="CG255" s="25">
        <v>1466</v>
      </c>
      <c r="CH255" s="25">
        <v>51359</v>
      </c>
      <c r="CI255" s="25">
        <v>98537</v>
      </c>
      <c r="CJ255" s="25">
        <v>138808</v>
      </c>
      <c r="CK255" s="25">
        <v>59026</v>
      </c>
      <c r="CL255" s="25">
        <v>231322</v>
      </c>
      <c r="CM255" s="25">
        <v>330743</v>
      </c>
      <c r="CN255" s="25">
        <v>0</v>
      </c>
      <c r="CO255" s="25">
        <v>0</v>
      </c>
    </row>
    <row r="256" spans="63:93" ht="19" customHeight="1" x14ac:dyDescent="0.35">
      <c r="BK256" s="1" t="str">
        <f t="shared" si="33"/>
        <v>CEMIG|PASSIVO|CIRCULANTE|Valores a restituir a consumidores</v>
      </c>
      <c r="BM256" s="390"/>
      <c r="BO256" s="6" t="s">
        <v>304</v>
      </c>
      <c r="BP256" s="25">
        <v>340800</v>
      </c>
      <c r="BQ256" s="25">
        <v>354860</v>
      </c>
      <c r="BR256" s="25">
        <v>340800</v>
      </c>
      <c r="BS256" s="25">
        <v>340800</v>
      </c>
      <c r="BT256" s="25">
        <v>371510</v>
      </c>
      <c r="BU256" s="25">
        <v>456888</v>
      </c>
      <c r="BV256" s="25">
        <v>526499</v>
      </c>
      <c r="BW256" s="25">
        <v>515823</v>
      </c>
      <c r="BX256" s="25">
        <v>340800</v>
      </c>
      <c r="BY256" s="25">
        <v>531359</v>
      </c>
      <c r="BZ256" s="25">
        <v>854025</v>
      </c>
      <c r="CA256" s="25">
        <v>1193429</v>
      </c>
      <c r="CB256" s="25">
        <v>1164003</v>
      </c>
      <c r="CC256" s="25">
        <v>458810</v>
      </c>
      <c r="CD256" s="25">
        <v>1495598</v>
      </c>
      <c r="CE256" s="25">
        <v>1873276</v>
      </c>
      <c r="CF256" s="25">
        <v>2579363</v>
      </c>
      <c r="CG256" s="25">
        <v>267307</v>
      </c>
      <c r="CH256" s="25">
        <v>704025</v>
      </c>
      <c r="CI256" s="25">
        <v>1145019</v>
      </c>
      <c r="CJ256" s="25">
        <v>1590108</v>
      </c>
      <c r="CK256" s="25">
        <v>836107</v>
      </c>
      <c r="CL256" s="25">
        <v>448019</v>
      </c>
      <c r="CM256" s="25">
        <v>630993</v>
      </c>
      <c r="CN256" s="25">
        <v>714339</v>
      </c>
      <c r="CO256" s="25">
        <v>0</v>
      </c>
    </row>
    <row r="257" spans="63:93" ht="19" customHeight="1" x14ac:dyDescent="0.35">
      <c r="BK257" s="1" t="str">
        <f t="shared" si="33"/>
        <v>CEMIG|PASSIVO|CIRCULANTE|Instrumentos financeiros derivativos</v>
      </c>
      <c r="BL257" s="81"/>
      <c r="BM257" s="390"/>
      <c r="BO257" s="6" t="s">
        <v>278</v>
      </c>
      <c r="BP257" s="25">
        <v>87526</v>
      </c>
      <c r="BQ257" s="25">
        <v>0</v>
      </c>
      <c r="BR257" s="25">
        <v>0</v>
      </c>
      <c r="BS257" s="25">
        <v>0</v>
      </c>
      <c r="BT257" s="25">
        <v>0</v>
      </c>
      <c r="BU257" s="25">
        <v>0</v>
      </c>
      <c r="BV257" s="25">
        <v>0</v>
      </c>
      <c r="BW257" s="25">
        <v>0</v>
      </c>
      <c r="BX257" s="25">
        <v>0</v>
      </c>
      <c r="BY257" s="25">
        <v>0</v>
      </c>
      <c r="BZ257" s="25">
        <v>0</v>
      </c>
      <c r="CA257" s="25">
        <v>41742</v>
      </c>
      <c r="CB257" s="25">
        <v>105020</v>
      </c>
      <c r="CC257" s="25">
        <v>814755</v>
      </c>
      <c r="CD257" s="25">
        <v>762942</v>
      </c>
      <c r="CE257" s="25">
        <v>745660</v>
      </c>
      <c r="CF257" s="25">
        <v>797190</v>
      </c>
      <c r="CG257" s="25">
        <v>773543</v>
      </c>
      <c r="CH257" s="25">
        <v>642422</v>
      </c>
      <c r="CI257" s="25">
        <v>572490</v>
      </c>
      <c r="CJ257" s="25">
        <v>608545</v>
      </c>
      <c r="CK257" s="25">
        <v>522988</v>
      </c>
      <c r="CL257" s="25">
        <v>536155</v>
      </c>
      <c r="CM257" s="25">
        <v>515887</v>
      </c>
      <c r="CN257" s="25">
        <v>0</v>
      </c>
      <c r="CO257" s="25">
        <v>0</v>
      </c>
    </row>
    <row r="258" spans="63:93" ht="19" customHeight="1" x14ac:dyDescent="0.35">
      <c r="BK258" s="1" t="str">
        <f t="shared" si="33"/>
        <v>CEMIG|PASSIVO|CIRCULANTE|Antecipação CDE</v>
      </c>
      <c r="BL258" s="395"/>
      <c r="BM258" s="390"/>
      <c r="BO258" s="6" t="s">
        <v>832</v>
      </c>
      <c r="BP258" s="25">
        <v>709761</v>
      </c>
      <c r="BQ258" s="25">
        <v>0</v>
      </c>
      <c r="BR258" s="25">
        <v>0</v>
      </c>
      <c r="BS258" s="25">
        <v>0</v>
      </c>
      <c r="BT258" s="25">
        <v>0</v>
      </c>
      <c r="BU258" s="25">
        <v>0</v>
      </c>
      <c r="BV258" s="25">
        <v>0</v>
      </c>
      <c r="BW258" s="25">
        <v>0</v>
      </c>
      <c r="BX258" s="25">
        <v>0</v>
      </c>
      <c r="BY258" s="25">
        <v>0</v>
      </c>
      <c r="BZ258" s="25">
        <v>0</v>
      </c>
      <c r="CA258" s="25">
        <v>0</v>
      </c>
      <c r="CB258" s="25">
        <v>0</v>
      </c>
      <c r="CC258" s="25">
        <v>0</v>
      </c>
      <c r="CD258" s="25">
        <v>0</v>
      </c>
      <c r="CE258" s="25">
        <v>0</v>
      </c>
      <c r="CF258" s="25">
        <v>0</v>
      </c>
      <c r="CG258" s="25">
        <v>0</v>
      </c>
      <c r="CH258" s="25">
        <v>0</v>
      </c>
      <c r="CI258" s="25">
        <v>0</v>
      </c>
      <c r="CJ258" s="25">
        <v>0</v>
      </c>
      <c r="CK258" s="25">
        <v>0</v>
      </c>
      <c r="CL258" s="25">
        <v>0</v>
      </c>
      <c r="CM258" s="25">
        <v>0</v>
      </c>
      <c r="CN258" s="25">
        <v>0</v>
      </c>
      <c r="CO258" s="25">
        <v>0</v>
      </c>
    </row>
    <row r="259" spans="63:93" ht="19" customHeight="1" x14ac:dyDescent="0.35">
      <c r="BK259" s="1" t="str">
        <f t="shared" si="33"/>
        <v>CEMIG|PASSIVO|CIRCULANTE|Passivo de arrendamento</v>
      </c>
      <c r="BM259" s="390"/>
      <c r="BO259" s="6" t="s">
        <v>305</v>
      </c>
      <c r="BP259" s="25">
        <v>95459</v>
      </c>
      <c r="BQ259" s="25">
        <v>87945</v>
      </c>
      <c r="BR259" s="25">
        <v>89111</v>
      </c>
      <c r="BS259" s="25">
        <v>87747</v>
      </c>
      <c r="BT259" s="25">
        <v>86030</v>
      </c>
      <c r="BU259" s="25">
        <v>80026</v>
      </c>
      <c r="BV259" s="25">
        <v>79228</v>
      </c>
      <c r="BW259" s="25">
        <v>75011</v>
      </c>
      <c r="BX259" s="25">
        <v>74821</v>
      </c>
      <c r="BY259" s="25">
        <v>67870</v>
      </c>
      <c r="BZ259" s="25">
        <v>78532</v>
      </c>
      <c r="CA259" s="25">
        <v>75788</v>
      </c>
      <c r="CB259" s="25">
        <v>75495</v>
      </c>
      <c r="CC259" s="25">
        <v>71676</v>
      </c>
      <c r="CD259" s="25">
        <v>57438</v>
      </c>
      <c r="CE259" s="25">
        <v>29313</v>
      </c>
      <c r="CF259" s="25">
        <v>38950</v>
      </c>
      <c r="CG259" s="25">
        <v>50599</v>
      </c>
      <c r="CH259" s="25">
        <v>61586</v>
      </c>
      <c r="CI259" s="25">
        <v>71752</v>
      </c>
      <c r="CJ259" s="25">
        <v>35863</v>
      </c>
      <c r="CK259" s="25">
        <v>44599</v>
      </c>
      <c r="CL259" s="25">
        <v>47799</v>
      </c>
      <c r="CM259" s="25">
        <v>69862</v>
      </c>
      <c r="CN259" s="25">
        <v>76251</v>
      </c>
      <c r="CO259" s="25">
        <v>79962</v>
      </c>
    </row>
    <row r="260" spans="63:93" ht="19" customHeight="1" x14ac:dyDescent="0.35">
      <c r="BK260" s="1" t="str">
        <f t="shared" si="33"/>
        <v>CEMIG|PASSIVO|CIRCULANTE|Outros passivos</v>
      </c>
      <c r="BM260" s="390"/>
      <c r="BO260" s="6" t="s">
        <v>306</v>
      </c>
      <c r="BP260" s="25">
        <v>459286</v>
      </c>
      <c r="BQ260" s="25">
        <v>835040</v>
      </c>
      <c r="BR260" s="25">
        <v>411507</v>
      </c>
      <c r="BS260" s="25">
        <v>455206</v>
      </c>
      <c r="BT260" s="25">
        <v>446189</v>
      </c>
      <c r="BU260" s="25">
        <v>639396</v>
      </c>
      <c r="BV260" s="25">
        <v>565166</v>
      </c>
      <c r="BW260" s="25">
        <v>389369</v>
      </c>
      <c r="BX260" s="25">
        <v>460259</v>
      </c>
      <c r="BY260" s="25">
        <v>599329</v>
      </c>
      <c r="BZ260" s="25">
        <v>485832</v>
      </c>
      <c r="CA260" s="25">
        <v>465608</v>
      </c>
      <c r="CB260" s="25">
        <v>474624</v>
      </c>
      <c r="CC260" s="25">
        <v>525910</v>
      </c>
      <c r="CD260" s="25">
        <v>423372</v>
      </c>
      <c r="CE260" s="25">
        <v>766965</v>
      </c>
      <c r="CF260" s="25">
        <v>662617</v>
      </c>
      <c r="CG260" s="25">
        <v>810231</v>
      </c>
      <c r="CH260" s="25">
        <v>776275</v>
      </c>
      <c r="CI260" s="25">
        <v>565454</v>
      </c>
      <c r="CJ260" s="25">
        <v>536925</v>
      </c>
      <c r="CK260" s="25">
        <v>502641</v>
      </c>
      <c r="CL260" s="25">
        <v>524795</v>
      </c>
      <c r="CM260" s="25">
        <v>463853</v>
      </c>
      <c r="CN260" s="25">
        <v>519698</v>
      </c>
      <c r="CO260" s="25">
        <v>407466</v>
      </c>
    </row>
    <row r="261" spans="63:93" ht="23.15" customHeight="1" x14ac:dyDescent="0.35">
      <c r="BK261" s="81" t="str">
        <f>BO261</f>
        <v>NÃO CIRCULANTE</v>
      </c>
      <c r="BL261" s="81"/>
      <c r="BO261" s="18" t="s">
        <v>238</v>
      </c>
      <c r="BP261" s="26">
        <f t="shared" ref="BP261:BQ261" si="34">IFERROR(SUM(BP262:BP273),0)</f>
        <v>28211694</v>
      </c>
      <c r="BQ261" s="26">
        <f t="shared" si="34"/>
        <v>23802271</v>
      </c>
      <c r="BR261" s="26">
        <f>IFERROR(SUM(BR262:BR273),0)</f>
        <v>23983868</v>
      </c>
      <c r="BS261" s="26">
        <f t="shared" ref="BS261:CO261" si="35">IFERROR(SUM(BS262:BS273),0)</f>
        <v>21131869</v>
      </c>
      <c r="BT261" s="26">
        <f t="shared" si="35"/>
        <v>21259287</v>
      </c>
      <c r="BU261" s="26">
        <f t="shared" si="35"/>
        <v>21378402</v>
      </c>
      <c r="BV261" s="26">
        <f t="shared" si="35"/>
        <v>18197949</v>
      </c>
      <c r="BW261" s="26">
        <f t="shared" si="35"/>
        <v>19345994</v>
      </c>
      <c r="BX261" s="26">
        <f t="shared" si="35"/>
        <v>16435898</v>
      </c>
      <c r="BY261" s="26">
        <f t="shared" si="35"/>
        <v>19173885</v>
      </c>
      <c r="BZ261" s="26">
        <f t="shared" si="35"/>
        <v>17252071</v>
      </c>
      <c r="CA261" s="26">
        <f t="shared" si="35"/>
        <v>21015762</v>
      </c>
      <c r="CB261" s="26">
        <f t="shared" si="35"/>
        <v>20800787</v>
      </c>
      <c r="CC261" s="26">
        <f t="shared" si="35"/>
        <v>20266126</v>
      </c>
      <c r="CD261" s="26">
        <f t="shared" si="35"/>
        <v>20682393</v>
      </c>
      <c r="CE261" s="26">
        <f t="shared" si="35"/>
        <v>21863149</v>
      </c>
      <c r="CF261" s="26">
        <f t="shared" si="35"/>
        <v>21660738</v>
      </c>
      <c r="CG261" s="26">
        <f t="shared" si="35"/>
        <v>20741894</v>
      </c>
      <c r="CH261" s="26">
        <f t="shared" si="35"/>
        <v>21896450</v>
      </c>
      <c r="CI261" s="26">
        <f t="shared" si="35"/>
        <v>22354827</v>
      </c>
      <c r="CJ261" s="26">
        <f t="shared" si="35"/>
        <v>24445949</v>
      </c>
      <c r="CK261" s="26">
        <f t="shared" si="35"/>
        <v>26053271</v>
      </c>
      <c r="CL261" s="26">
        <f t="shared" si="35"/>
        <v>26915517</v>
      </c>
      <c r="CM261" s="26">
        <f t="shared" si="35"/>
        <v>26945157</v>
      </c>
      <c r="CN261" s="26">
        <f t="shared" si="35"/>
        <v>26604927</v>
      </c>
      <c r="CO261" s="26">
        <f t="shared" si="35"/>
        <v>26793072</v>
      </c>
    </row>
    <row r="262" spans="63:93" ht="19" customHeight="1" x14ac:dyDescent="0.35">
      <c r="BK262" s="1" t="str">
        <f t="shared" ref="BK262:BK273" si="36">_xlfn.CONCAT($BO$203,"|",$BO$241,"|",$BO$261,"|",BO262)</f>
        <v>CEMIG|PASSIVO|NÃO CIRCULANTE|Encargos regulatórios</v>
      </c>
      <c r="BM262" s="390"/>
      <c r="BO262" s="6" t="s">
        <v>295</v>
      </c>
      <c r="BP262" s="25">
        <v>177417</v>
      </c>
      <c r="BQ262" s="25">
        <v>165931</v>
      </c>
      <c r="BR262" s="25">
        <v>148247</v>
      </c>
      <c r="BS262" s="25">
        <v>143177</v>
      </c>
      <c r="BT262" s="25">
        <v>128466</v>
      </c>
      <c r="BU262" s="25">
        <v>113732</v>
      </c>
      <c r="BV262" s="25">
        <v>171893</v>
      </c>
      <c r="BW262" s="25">
        <v>203613</v>
      </c>
      <c r="BX262" s="25">
        <v>181077</v>
      </c>
      <c r="BY262" s="25">
        <v>115444</v>
      </c>
      <c r="BZ262" s="25">
        <v>90360</v>
      </c>
      <c r="CA262" s="25">
        <v>36251</v>
      </c>
      <c r="CB262" s="25">
        <v>46129</v>
      </c>
      <c r="CC262" s="25">
        <v>47104</v>
      </c>
      <c r="CD262" s="25">
        <v>65360</v>
      </c>
      <c r="CE262" s="25">
        <v>67004</v>
      </c>
      <c r="CF262" s="25">
        <v>57331</v>
      </c>
      <c r="CG262" s="25">
        <v>84310</v>
      </c>
      <c r="CH262" s="25">
        <v>204623</v>
      </c>
      <c r="CI262" s="25">
        <v>183297</v>
      </c>
      <c r="CJ262" s="25">
        <v>159566</v>
      </c>
      <c r="CK262" s="25">
        <v>124788</v>
      </c>
      <c r="CL262" s="25">
        <v>291189</v>
      </c>
      <c r="CM262" s="25">
        <v>277068</v>
      </c>
      <c r="CN262" s="25">
        <v>286900</v>
      </c>
      <c r="CO262" s="25">
        <v>175777</v>
      </c>
    </row>
    <row r="263" spans="63:93" ht="19" customHeight="1" x14ac:dyDescent="0.35">
      <c r="BK263" s="1" t="str">
        <f t="shared" si="36"/>
        <v>CEMIG|PASSIVO|NÃO CIRCULANTE|Debêntures</v>
      </c>
      <c r="BM263" s="390"/>
      <c r="BO263" s="6" t="s">
        <v>298</v>
      </c>
      <c r="BP263" s="25">
        <v>20833529</v>
      </c>
      <c r="BQ263" s="25">
        <v>16527380</v>
      </c>
      <c r="BR263" s="25">
        <v>16413688</v>
      </c>
      <c r="BS263" s="25">
        <v>12429018</v>
      </c>
      <c r="BT263" s="25">
        <v>12516709</v>
      </c>
      <c r="BU263" s="25">
        <v>12606768</v>
      </c>
      <c r="BV263" s="25">
        <v>9402752</v>
      </c>
      <c r="BW263" s="25">
        <v>9339029</v>
      </c>
      <c r="BX263" s="25">
        <v>6985556</v>
      </c>
      <c r="BY263" s="25">
        <v>8912088</v>
      </c>
      <c r="BZ263" s="25">
        <v>7201431</v>
      </c>
      <c r="CA263" s="25">
        <v>10943728</v>
      </c>
      <c r="CB263" s="25">
        <v>10879296</v>
      </c>
      <c r="CC263" s="25">
        <v>9187833</v>
      </c>
      <c r="CD263" s="25">
        <v>9624001</v>
      </c>
      <c r="CE263" s="25">
        <v>10180253</v>
      </c>
      <c r="CF263" s="25">
        <v>10181636</v>
      </c>
      <c r="CG263" s="25">
        <v>8728364</v>
      </c>
      <c r="CH263" s="25">
        <v>9898830</v>
      </c>
      <c r="CI263" s="25">
        <v>9781813</v>
      </c>
      <c r="CJ263" s="25">
        <v>11909610</v>
      </c>
      <c r="CK263" s="25">
        <v>13037225</v>
      </c>
      <c r="CL263" s="25">
        <v>12961243</v>
      </c>
      <c r="CM263" s="25">
        <v>13733097</v>
      </c>
      <c r="CN263" s="25">
        <v>12860765</v>
      </c>
      <c r="CO263" s="25">
        <v>12693502</v>
      </c>
    </row>
    <row r="264" spans="63:93" ht="19" customHeight="1" x14ac:dyDescent="0.35">
      <c r="BK264" s="1" t="str">
        <f t="shared" si="36"/>
        <v>CEMIG|PASSIVO|NÃO CIRCULANTE|Impostos, taxas e contribuições</v>
      </c>
      <c r="BM264" s="390"/>
      <c r="BO264" s="6" t="s">
        <v>296</v>
      </c>
      <c r="BP264" s="25">
        <v>507077</v>
      </c>
      <c r="BQ264" s="25">
        <v>493215</v>
      </c>
      <c r="BR264" s="25">
        <v>491736</v>
      </c>
      <c r="BS264" s="25">
        <v>485480</v>
      </c>
      <c r="BT264" s="25">
        <v>487885</v>
      </c>
      <c r="BU264" s="25">
        <v>499473</v>
      </c>
      <c r="BV264" s="25">
        <v>496253</v>
      </c>
      <c r="BW264" s="25">
        <v>488570</v>
      </c>
      <c r="BX264" s="25">
        <v>357220</v>
      </c>
      <c r="BY264" s="25">
        <v>357899</v>
      </c>
      <c r="BZ264" s="25">
        <v>361973</v>
      </c>
      <c r="CA264" s="25">
        <v>361977</v>
      </c>
      <c r="CB264" s="25">
        <v>369686</v>
      </c>
      <c r="CC264" s="25">
        <v>370279</v>
      </c>
      <c r="CD264" s="25">
        <v>370168</v>
      </c>
      <c r="CE264" s="25">
        <v>364289</v>
      </c>
      <c r="CF264" s="25">
        <v>364378</v>
      </c>
      <c r="CG264" s="25">
        <v>350819</v>
      </c>
      <c r="CH264" s="25">
        <v>341689</v>
      </c>
      <c r="CI264" s="25">
        <v>313918</v>
      </c>
      <c r="CJ264" s="25">
        <v>305041</v>
      </c>
      <c r="CK264" s="25">
        <v>261465</v>
      </c>
      <c r="CL264" s="25">
        <v>262745</v>
      </c>
      <c r="CM264" s="25">
        <v>0</v>
      </c>
      <c r="CN264" s="25">
        <v>671</v>
      </c>
      <c r="CO264" s="25">
        <v>671</v>
      </c>
    </row>
    <row r="265" spans="63:93" ht="19" customHeight="1" x14ac:dyDescent="0.35">
      <c r="BK265" s="1" t="str">
        <f t="shared" si="36"/>
        <v>CEMIG|PASSIVO|NÃO CIRCULANTE|Imposto de renda e contribuição social diferidos</v>
      </c>
      <c r="BM265" s="390"/>
      <c r="BO265" s="6" t="s">
        <v>16</v>
      </c>
      <c r="BP265" s="25">
        <v>1523492</v>
      </c>
      <c r="BQ265" s="25">
        <v>1560931</v>
      </c>
      <c r="BR265" s="25">
        <v>1569412</v>
      </c>
      <c r="BS265" s="25">
        <v>1415200</v>
      </c>
      <c r="BT265" s="25">
        <v>1421542</v>
      </c>
      <c r="BU265" s="25">
        <v>1512311</v>
      </c>
      <c r="BV265" s="25">
        <v>1543290</v>
      </c>
      <c r="BW265" s="25">
        <v>1651323</v>
      </c>
      <c r="BX265" s="25">
        <v>1198502</v>
      </c>
      <c r="BY265" s="25">
        <v>1173827</v>
      </c>
      <c r="BZ265" s="25">
        <v>1112162</v>
      </c>
      <c r="CA265" s="25">
        <v>1017814</v>
      </c>
      <c r="CB265" s="25">
        <v>975392</v>
      </c>
      <c r="CC265" s="25">
        <v>915565</v>
      </c>
      <c r="CD265" s="25">
        <v>932235</v>
      </c>
      <c r="CE265" s="25">
        <v>809625</v>
      </c>
      <c r="CF265" s="25">
        <v>839713</v>
      </c>
      <c r="CG265" s="25">
        <v>941956</v>
      </c>
      <c r="CH265" s="25">
        <v>962255</v>
      </c>
      <c r="CI265" s="25">
        <v>940300</v>
      </c>
      <c r="CJ265" s="25">
        <v>991293</v>
      </c>
      <c r="CK265" s="25">
        <v>792422</v>
      </c>
      <c r="CL265" s="25">
        <v>1040003</v>
      </c>
      <c r="CM265" s="25">
        <v>684661</v>
      </c>
      <c r="CN265" s="25">
        <v>753718</v>
      </c>
      <c r="CO265" s="25">
        <v>575642</v>
      </c>
    </row>
    <row r="266" spans="63:93" ht="19" customHeight="1" x14ac:dyDescent="0.35">
      <c r="BK266" s="1" t="str">
        <f t="shared" si="36"/>
        <v>CEMIG|PASSIVO|NÃO CIRCULANTE|Provisões</v>
      </c>
      <c r="BM266" s="390"/>
      <c r="BO266" s="6" t="s">
        <v>308</v>
      </c>
      <c r="BP266" s="25">
        <v>2324879</v>
      </c>
      <c r="BQ266" s="25">
        <v>2161583</v>
      </c>
      <c r="BR266" s="25">
        <v>2242991</v>
      </c>
      <c r="BS266" s="25">
        <v>2001458</v>
      </c>
      <c r="BT266" s="25">
        <v>1959945</v>
      </c>
      <c r="BU266" s="25">
        <v>1920017</v>
      </c>
      <c r="BV266" s="25">
        <v>1853043</v>
      </c>
      <c r="BW266" s="25">
        <v>1766616</v>
      </c>
      <c r="BX266" s="25">
        <v>1751503</v>
      </c>
      <c r="BY266" s="25">
        <v>2264265</v>
      </c>
      <c r="BZ266" s="25">
        <v>2199913</v>
      </c>
      <c r="CA266" s="25">
        <v>2169803</v>
      </c>
      <c r="CB266" s="25">
        <v>2111240</v>
      </c>
      <c r="CC266" s="25">
        <v>2059993</v>
      </c>
      <c r="CD266" s="25">
        <v>2029021</v>
      </c>
      <c r="CE266" s="25">
        <v>2012091</v>
      </c>
      <c r="CF266" s="25">
        <v>3356954</v>
      </c>
      <c r="CG266" s="25">
        <v>1937588</v>
      </c>
      <c r="CH266" s="25">
        <v>1888972</v>
      </c>
      <c r="CI266" s="25">
        <v>1879114</v>
      </c>
      <c r="CJ266" s="25">
        <v>1884702</v>
      </c>
      <c r="CK266" s="25">
        <v>1867263</v>
      </c>
      <c r="CL266" s="25">
        <v>1892437</v>
      </c>
      <c r="CM266" s="25">
        <v>1883672</v>
      </c>
      <c r="CN266" s="25">
        <v>1864956</v>
      </c>
      <c r="CO266" s="25">
        <v>1877095</v>
      </c>
    </row>
    <row r="267" spans="63:93" ht="19" customHeight="1" x14ac:dyDescent="0.35">
      <c r="BK267" s="1" t="str">
        <f t="shared" si="36"/>
        <v>CEMIG|PASSIVO|NÃO CIRCULANTE|Obrigações Pós-emprego</v>
      </c>
      <c r="BM267" s="390"/>
      <c r="BO267" s="6" t="s">
        <v>124</v>
      </c>
      <c r="BP267" s="25">
        <v>1663718</v>
      </c>
      <c r="BQ267" s="25">
        <v>1673866</v>
      </c>
      <c r="BR267" s="25">
        <v>1672414</v>
      </c>
      <c r="BS267" s="25">
        <v>4036669</v>
      </c>
      <c r="BT267" s="25">
        <v>4117758</v>
      </c>
      <c r="BU267" s="25">
        <v>4082136</v>
      </c>
      <c r="BV267" s="25">
        <v>4072608</v>
      </c>
      <c r="BW267" s="25">
        <v>5217152</v>
      </c>
      <c r="BX267" s="25">
        <v>5173353</v>
      </c>
      <c r="BY267" s="25">
        <v>5152774</v>
      </c>
      <c r="BZ267" s="25">
        <v>5087975</v>
      </c>
      <c r="CA267" s="25">
        <v>5325007</v>
      </c>
      <c r="CB267" s="25">
        <v>5249788</v>
      </c>
      <c r="CC267" s="25">
        <v>5223476</v>
      </c>
      <c r="CD267" s="25">
        <v>5303538</v>
      </c>
      <c r="CE267" s="25">
        <v>5984278</v>
      </c>
      <c r="CF267" s="25">
        <v>5944240</v>
      </c>
      <c r="CG267" s="25">
        <v>5908924</v>
      </c>
      <c r="CH267" s="25">
        <v>5857941</v>
      </c>
      <c r="CI267" s="25">
        <v>6583022</v>
      </c>
      <c r="CJ267" s="25">
        <v>6569887</v>
      </c>
      <c r="CK267" s="25">
        <v>6555131</v>
      </c>
      <c r="CL267" s="25">
        <v>6538496</v>
      </c>
      <c r="CM267" s="25">
        <v>6513541</v>
      </c>
      <c r="CN267" s="25">
        <v>6513321</v>
      </c>
      <c r="CO267" s="25">
        <v>6453328</v>
      </c>
    </row>
    <row r="268" spans="63:93" ht="19" customHeight="1" x14ac:dyDescent="0.35">
      <c r="BK268" s="1" t="str">
        <f t="shared" si="36"/>
        <v>CEMIG|PASSIVO|NÃO CIRCULANTE|Indenização Compensatória</v>
      </c>
      <c r="BM268" s="390"/>
      <c r="BO268" s="6" t="s">
        <v>302</v>
      </c>
      <c r="BP268" s="25">
        <v>623926</v>
      </c>
      <c r="BQ268" s="25">
        <v>623926</v>
      </c>
      <c r="BR268" s="25">
        <v>834441</v>
      </c>
      <c r="BS268" s="25">
        <v>0</v>
      </c>
      <c r="BT268" s="25">
        <v>0</v>
      </c>
      <c r="BU268" s="25">
        <v>0</v>
      </c>
      <c r="BV268" s="25">
        <v>0</v>
      </c>
      <c r="BW268" s="25">
        <v>0</v>
      </c>
      <c r="BX268" s="25">
        <v>0</v>
      </c>
      <c r="BY268" s="25">
        <v>0</v>
      </c>
      <c r="BZ268" s="25">
        <v>0</v>
      </c>
      <c r="CA268" s="25">
        <v>0</v>
      </c>
      <c r="CB268" s="25">
        <v>0</v>
      </c>
      <c r="CC268" s="25">
        <v>0</v>
      </c>
      <c r="CD268" s="25">
        <v>0</v>
      </c>
      <c r="CE268" s="25">
        <v>0</v>
      </c>
      <c r="CF268" s="25">
        <v>0</v>
      </c>
      <c r="CG268" s="25">
        <v>0</v>
      </c>
      <c r="CH268" s="25">
        <v>0</v>
      </c>
      <c r="CI268" s="25">
        <v>0</v>
      </c>
      <c r="CJ268" s="25">
        <v>0</v>
      </c>
      <c r="CK268" s="25">
        <v>0</v>
      </c>
      <c r="CL268" s="25">
        <v>0</v>
      </c>
      <c r="CM268" s="25">
        <v>0</v>
      </c>
      <c r="CN268" s="25">
        <v>0</v>
      </c>
      <c r="CO268" s="25">
        <v>0</v>
      </c>
    </row>
    <row r="269" spans="63:93" ht="19" customHeight="1" x14ac:dyDescent="0.35">
      <c r="BK269" s="1" t="str">
        <f t="shared" si="36"/>
        <v>CEMIG|PASSIVO|NÃO CIRCULANTE|Passivo financeiro da concessão</v>
      </c>
      <c r="BO269" s="6" t="s">
        <v>303</v>
      </c>
      <c r="BP269" s="25">
        <v>0</v>
      </c>
      <c r="BQ269" s="25">
        <v>0</v>
      </c>
      <c r="BR269" s="25">
        <v>0</v>
      </c>
      <c r="BS269" s="25">
        <v>0</v>
      </c>
      <c r="BT269" s="25">
        <v>0</v>
      </c>
      <c r="BU269" s="25">
        <v>0</v>
      </c>
      <c r="BV269" s="25">
        <v>0</v>
      </c>
      <c r="BW269" s="25">
        <v>0</v>
      </c>
      <c r="BX269" s="25">
        <v>0</v>
      </c>
      <c r="BY269" s="25">
        <v>0</v>
      </c>
      <c r="BZ269" s="25">
        <v>0</v>
      </c>
      <c r="CA269" s="25">
        <v>0</v>
      </c>
      <c r="CB269" s="25">
        <v>0</v>
      </c>
      <c r="CC269" s="25">
        <v>0</v>
      </c>
      <c r="CD269" s="25">
        <v>0</v>
      </c>
      <c r="CE269" s="25">
        <v>271196</v>
      </c>
      <c r="CF269" s="25">
        <v>270951</v>
      </c>
      <c r="CG269" s="25">
        <v>0</v>
      </c>
      <c r="CH269" s="25">
        <v>0</v>
      </c>
      <c r="CI269" s="25">
        <v>0</v>
      </c>
      <c r="CJ269" s="25">
        <v>0</v>
      </c>
      <c r="CK269" s="25">
        <v>0</v>
      </c>
      <c r="CL269" s="25">
        <v>0</v>
      </c>
      <c r="CM269" s="25">
        <v>633</v>
      </c>
      <c r="CN269" s="25">
        <v>0</v>
      </c>
      <c r="CO269" s="25">
        <v>0</v>
      </c>
    </row>
    <row r="270" spans="63:93" ht="19" customHeight="1" x14ac:dyDescent="0.35">
      <c r="BK270" s="1" t="str">
        <f t="shared" si="36"/>
        <v>CEMIG|PASSIVO|NÃO CIRCULANTE|Valores a restituir a consumidores</v>
      </c>
      <c r="BM270" s="390"/>
      <c r="BO270" s="6" t="s">
        <v>304</v>
      </c>
      <c r="BP270" s="25">
        <v>143562</v>
      </c>
      <c r="BQ270" s="25">
        <v>147305</v>
      </c>
      <c r="BR270" s="25">
        <v>150957</v>
      </c>
      <c r="BS270" s="25">
        <v>154677</v>
      </c>
      <c r="BT270" s="25">
        <v>158531</v>
      </c>
      <c r="BU270" s="25">
        <v>162699</v>
      </c>
      <c r="BV270" s="25">
        <v>166089</v>
      </c>
      <c r="BW270" s="25">
        <v>170374</v>
      </c>
      <c r="BX270" s="25">
        <v>277055</v>
      </c>
      <c r="BY270" s="25">
        <v>683208</v>
      </c>
      <c r="BZ270" s="25">
        <v>664275</v>
      </c>
      <c r="CA270" s="25">
        <v>633547</v>
      </c>
      <c r="CB270" s="25">
        <v>607684</v>
      </c>
      <c r="CC270" s="25">
        <v>1873038</v>
      </c>
      <c r="CD270" s="25">
        <v>1808074</v>
      </c>
      <c r="CE270" s="25">
        <v>1723626</v>
      </c>
      <c r="CF270" s="25">
        <v>213869</v>
      </c>
      <c r="CG270" s="25">
        <v>2366849</v>
      </c>
      <c r="CH270" s="25">
        <v>2318910</v>
      </c>
      <c r="CI270" s="25">
        <v>2262966</v>
      </c>
      <c r="CJ270" s="25">
        <v>2233992</v>
      </c>
      <c r="CK270" s="25">
        <v>3023426</v>
      </c>
      <c r="CL270" s="25">
        <v>3569837</v>
      </c>
      <c r="CM270" s="25">
        <v>3535250</v>
      </c>
      <c r="CN270" s="25">
        <v>3522442</v>
      </c>
      <c r="CO270" s="25">
        <v>4217114</v>
      </c>
    </row>
    <row r="271" spans="63:93" ht="19" customHeight="1" x14ac:dyDescent="0.35">
      <c r="BK271" s="1" t="str">
        <f t="shared" si="36"/>
        <v>CEMIG|PASSIVO|NÃO CIRCULANTE|Instrumentos financeiros derivativos</v>
      </c>
      <c r="BO271" s="6" t="s">
        <v>278</v>
      </c>
      <c r="BP271" s="25">
        <v>0</v>
      </c>
      <c r="BQ271" s="25">
        <v>0</v>
      </c>
      <c r="BR271" s="25">
        <v>0</v>
      </c>
      <c r="BS271" s="25">
        <v>0</v>
      </c>
      <c r="BT271" s="25">
        <v>0</v>
      </c>
      <c r="BU271" s="25">
        <v>0</v>
      </c>
      <c r="BV271" s="25">
        <v>0</v>
      </c>
      <c r="BW271" s="25">
        <v>0</v>
      </c>
      <c r="BX271" s="25">
        <v>0</v>
      </c>
      <c r="BY271" s="25">
        <v>0</v>
      </c>
      <c r="BZ271" s="25">
        <v>0</v>
      </c>
      <c r="CA271" s="25">
        <v>0</v>
      </c>
      <c r="CB271" s="25">
        <v>0</v>
      </c>
      <c r="CC271" s="25">
        <v>0</v>
      </c>
      <c r="CD271" s="25">
        <v>0</v>
      </c>
      <c r="CE271" s="25">
        <v>0</v>
      </c>
      <c r="CF271" s="25">
        <v>0</v>
      </c>
      <c r="CG271" s="25">
        <v>0</v>
      </c>
      <c r="CH271" s="25">
        <v>0</v>
      </c>
      <c r="CI271" s="25">
        <v>0</v>
      </c>
      <c r="CJ271" s="25">
        <v>0</v>
      </c>
      <c r="CK271" s="25">
        <v>0</v>
      </c>
      <c r="CL271" s="25">
        <v>0</v>
      </c>
      <c r="CM271" s="25">
        <v>0</v>
      </c>
      <c r="CN271" s="25">
        <v>505641</v>
      </c>
      <c r="CO271" s="25">
        <v>503653</v>
      </c>
    </row>
    <row r="272" spans="63:93" ht="19" customHeight="1" x14ac:dyDescent="0.35">
      <c r="BK272" s="1" t="str">
        <f t="shared" si="36"/>
        <v>CEMIG|PASSIVO|NÃO CIRCULANTE|Passivo de arrendamento</v>
      </c>
      <c r="BM272" s="390"/>
      <c r="BO272" s="6" t="s">
        <v>305</v>
      </c>
      <c r="BP272" s="25">
        <v>301777</v>
      </c>
      <c r="BQ272" s="25">
        <v>312912</v>
      </c>
      <c r="BR272" s="25">
        <v>328118</v>
      </c>
      <c r="BS272" s="25">
        <v>336534</v>
      </c>
      <c r="BT272" s="25">
        <v>340262</v>
      </c>
      <c r="BU272" s="25">
        <v>337002</v>
      </c>
      <c r="BV272" s="25">
        <v>349972</v>
      </c>
      <c r="BW272" s="25">
        <v>344353</v>
      </c>
      <c r="BX272" s="25">
        <v>354235</v>
      </c>
      <c r="BY272" s="25">
        <v>355287</v>
      </c>
      <c r="BZ272" s="25">
        <v>354404</v>
      </c>
      <c r="CA272" s="25">
        <v>333422</v>
      </c>
      <c r="CB272" s="25">
        <v>340578</v>
      </c>
      <c r="CC272" s="25">
        <v>334048</v>
      </c>
      <c r="CD272" s="25">
        <v>297195</v>
      </c>
      <c r="CE272" s="25">
        <v>215402</v>
      </c>
      <c r="CF272" s="25">
        <v>183666</v>
      </c>
      <c r="CG272" s="25">
        <v>180596</v>
      </c>
      <c r="CH272" s="25">
        <v>182437</v>
      </c>
      <c r="CI272" s="25">
        <v>183064</v>
      </c>
      <c r="CJ272" s="25">
        <v>169101</v>
      </c>
      <c r="CK272" s="25">
        <v>173390</v>
      </c>
      <c r="CL272" s="25">
        <v>178704</v>
      </c>
      <c r="CM272" s="25">
        <v>175158</v>
      </c>
      <c r="CN272" s="25">
        <v>180000</v>
      </c>
      <c r="CO272" s="25">
        <v>191780</v>
      </c>
    </row>
    <row r="273" spans="63:93" ht="19" customHeight="1" x14ac:dyDescent="0.35">
      <c r="BK273" s="1" t="str">
        <f t="shared" si="36"/>
        <v>CEMIG|PASSIVO|NÃO CIRCULANTE|Outros passivos</v>
      </c>
      <c r="BM273" s="390"/>
      <c r="BO273" s="16" t="s">
        <v>306</v>
      </c>
      <c r="BP273" s="25">
        <v>112317</v>
      </c>
      <c r="BQ273" s="25">
        <v>135222</v>
      </c>
      <c r="BR273" s="25">
        <v>131864</v>
      </c>
      <c r="BS273" s="25">
        <v>129656</v>
      </c>
      <c r="BT273" s="25">
        <v>128189</v>
      </c>
      <c r="BU273" s="25">
        <v>144264</v>
      </c>
      <c r="BV273" s="25">
        <v>142049</v>
      </c>
      <c r="BW273" s="25">
        <v>164964</v>
      </c>
      <c r="BX273" s="25">
        <v>157397</v>
      </c>
      <c r="BY273" s="25">
        <v>159093</v>
      </c>
      <c r="BZ273" s="25">
        <v>179578</v>
      </c>
      <c r="CA273" s="25">
        <v>194213</v>
      </c>
      <c r="CB273" s="25">
        <v>220994</v>
      </c>
      <c r="CC273" s="25">
        <v>254790</v>
      </c>
      <c r="CD273" s="25">
        <v>252801</v>
      </c>
      <c r="CE273" s="25">
        <v>235385</v>
      </c>
      <c r="CF273" s="25">
        <v>248000</v>
      </c>
      <c r="CG273" s="25">
        <v>242488</v>
      </c>
      <c r="CH273" s="25">
        <v>240793</v>
      </c>
      <c r="CI273" s="25">
        <v>227333</v>
      </c>
      <c r="CJ273" s="25">
        <v>222757</v>
      </c>
      <c r="CK273" s="25">
        <v>218161</v>
      </c>
      <c r="CL273" s="25">
        <v>180863</v>
      </c>
      <c r="CM273" s="25">
        <v>142077</v>
      </c>
      <c r="CN273" s="25">
        <v>116513</v>
      </c>
      <c r="CO273" s="25">
        <v>104510</v>
      </c>
    </row>
    <row r="274" spans="63:93" ht="28" customHeight="1" x14ac:dyDescent="0.35">
      <c r="BK274" s="81" t="str">
        <f>BO274</f>
        <v>TOTAL DO PASSIVO</v>
      </c>
      <c r="BO274" s="39" t="s">
        <v>240</v>
      </c>
      <c r="BP274" s="80">
        <f>IFERROR(SUM(BP261,BP242),0)</f>
        <v>41675096</v>
      </c>
      <c r="BQ274" s="80">
        <f>IFERROR(SUM(BQ261,BQ242),0)</f>
        <v>39280917</v>
      </c>
      <c r="BR274" s="80">
        <f>IFERROR(SUM(BR261,BR242),0)</f>
        <v>38446373</v>
      </c>
      <c r="BS274" s="80">
        <f t="shared" ref="BS274:CO274" si="37">IFERROR(SUM(BS261,BS242),0)</f>
        <v>36015484</v>
      </c>
      <c r="BT274" s="80">
        <f t="shared" si="37"/>
        <v>34932369</v>
      </c>
      <c r="BU274" s="80">
        <f t="shared" si="37"/>
        <v>35981691</v>
      </c>
      <c r="BV274" s="80">
        <f t="shared" si="37"/>
        <v>32343757</v>
      </c>
      <c r="BW274" s="80">
        <f t="shared" si="37"/>
        <v>34941515</v>
      </c>
      <c r="BX274" s="80">
        <f t="shared" si="37"/>
        <v>30063149</v>
      </c>
      <c r="BY274" s="80">
        <f t="shared" si="37"/>
        <v>32021876</v>
      </c>
      <c r="BZ274" s="80">
        <f t="shared" si="37"/>
        <v>30344887</v>
      </c>
      <c r="CA274" s="80">
        <f t="shared" si="37"/>
        <v>31731462</v>
      </c>
      <c r="CB274" s="80">
        <f t="shared" si="37"/>
        <v>30928429</v>
      </c>
      <c r="CC274" s="80">
        <f t="shared" si="37"/>
        <v>31287930</v>
      </c>
      <c r="CD274" s="80">
        <f t="shared" si="37"/>
        <v>31887571</v>
      </c>
      <c r="CE274" s="80">
        <f t="shared" si="37"/>
        <v>33434834</v>
      </c>
      <c r="CF274" s="80">
        <f t="shared" si="37"/>
        <v>32853003</v>
      </c>
      <c r="CG274" s="80">
        <f t="shared" si="37"/>
        <v>30394764</v>
      </c>
      <c r="CH274" s="80">
        <f t="shared" si="37"/>
        <v>32584043</v>
      </c>
      <c r="CI274" s="80">
        <f t="shared" si="37"/>
        <v>32849311</v>
      </c>
      <c r="CJ274" s="80">
        <f t="shared" si="37"/>
        <v>33993246</v>
      </c>
      <c r="CK274" s="80">
        <f t="shared" si="37"/>
        <v>35111227</v>
      </c>
      <c r="CL274" s="80">
        <f t="shared" si="37"/>
        <v>36605732</v>
      </c>
      <c r="CM274" s="80">
        <f t="shared" si="37"/>
        <v>36023916</v>
      </c>
      <c r="CN274" s="80">
        <f t="shared" si="37"/>
        <v>35658078</v>
      </c>
      <c r="CO274" s="80">
        <f t="shared" si="37"/>
        <v>34548170</v>
      </c>
    </row>
    <row r="275" spans="63:93" ht="19" customHeight="1" x14ac:dyDescent="0.35">
      <c r="BK275" s="81"/>
      <c r="BL275" s="81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/>
      <c r="CN275" s="27"/>
      <c r="CO275" s="27"/>
    </row>
    <row r="276" spans="63:93" ht="35.15" customHeight="1" x14ac:dyDescent="0.35">
      <c r="BK276" s="81" t="str">
        <f t="shared" ref="BK276" si="38">BO276</f>
        <v>PATRIMÔNIO LÍQUIDO</v>
      </c>
      <c r="BL276" s="81"/>
      <c r="BO276" s="169" t="s">
        <v>242</v>
      </c>
      <c r="BP276" s="166" t="str">
        <f t="shared" ref="BP276:CO276" si="39">BP205</f>
        <v>jun | 2026</v>
      </c>
      <c r="BQ276" s="166" t="str">
        <f t="shared" si="39"/>
        <v>mar | 2026</v>
      </c>
      <c r="BR276" s="166" t="str">
        <f t="shared" si="39"/>
        <v>dez | 2025</v>
      </c>
      <c r="BS276" s="166" t="str">
        <f t="shared" si="39"/>
        <v>set | 2025</v>
      </c>
      <c r="BT276" s="166" t="str">
        <f t="shared" si="39"/>
        <v>jun | 2025</v>
      </c>
      <c r="BU276" s="166" t="str">
        <f t="shared" si="39"/>
        <v>mar | 2025</v>
      </c>
      <c r="BV276" s="166" t="str">
        <f t="shared" si="39"/>
        <v>dez | 2024</v>
      </c>
      <c r="BW276" s="166" t="str">
        <f t="shared" si="39"/>
        <v>set | 2024</v>
      </c>
      <c r="BX276" s="166" t="str">
        <f t="shared" si="39"/>
        <v>jun | 2024</v>
      </c>
      <c r="BY276" s="166" t="str">
        <f t="shared" si="39"/>
        <v>mar | 2024</v>
      </c>
      <c r="BZ276" s="166" t="str">
        <f t="shared" si="39"/>
        <v>dez | 2023</v>
      </c>
      <c r="CA276" s="166" t="str">
        <f t="shared" si="39"/>
        <v>set | 2023</v>
      </c>
      <c r="CB276" s="166" t="str">
        <f t="shared" si="39"/>
        <v>jun | 2023</v>
      </c>
      <c r="CC276" s="166" t="str">
        <f t="shared" si="39"/>
        <v>mar | 2023</v>
      </c>
      <c r="CD276" s="166" t="str">
        <f t="shared" si="39"/>
        <v>dez | 2022</v>
      </c>
      <c r="CE276" s="166" t="str">
        <f t="shared" si="39"/>
        <v>set | 2022</v>
      </c>
      <c r="CF276" s="166" t="str">
        <f t="shared" si="39"/>
        <v>jun | 2022</v>
      </c>
      <c r="CG276" s="166" t="str">
        <f t="shared" si="39"/>
        <v>mar | 2022</v>
      </c>
      <c r="CH276" s="166" t="str">
        <f t="shared" si="39"/>
        <v>dez | 2021</v>
      </c>
      <c r="CI276" s="166" t="str">
        <f t="shared" si="39"/>
        <v>set | 2021</v>
      </c>
      <c r="CJ276" s="166" t="str">
        <f t="shared" si="39"/>
        <v>jun | 2021</v>
      </c>
      <c r="CK276" s="166" t="str">
        <f t="shared" si="39"/>
        <v>mar | 2021</v>
      </c>
      <c r="CL276" s="166" t="str">
        <f t="shared" si="39"/>
        <v>dez | 2020</v>
      </c>
      <c r="CM276" s="166" t="str">
        <f t="shared" si="39"/>
        <v>set | 2020</v>
      </c>
      <c r="CN276" s="166" t="str">
        <f t="shared" si="39"/>
        <v>jun | 2020</v>
      </c>
      <c r="CO276" s="166" t="str">
        <f t="shared" si="39"/>
        <v>mar | 2020</v>
      </c>
    </row>
    <row r="277" spans="63:93" ht="20.149999999999999" customHeight="1" x14ac:dyDescent="0.35">
      <c r="BK277" s="81" t="str">
        <f>BO277</f>
        <v>Atribuível aos acionistas da empresa controladora</v>
      </c>
      <c r="BL277" s="81"/>
      <c r="BO277" s="20" t="s">
        <v>309</v>
      </c>
      <c r="BP277" s="28">
        <f>IFERROR(SUM(BP278:BP282),0)</f>
        <v>29181647</v>
      </c>
      <c r="BQ277" s="28">
        <f t="shared" ref="BQ277" si="40">IFERROR(SUM(BQ278:BQ282),0)</f>
        <v>28887605</v>
      </c>
      <c r="BR277" s="28">
        <f>IFERROR(SUM(BR278:BR282),0)</f>
        <v>28576380</v>
      </c>
      <c r="BS277" s="28">
        <f t="shared" ref="BS277:CO277" si="41">IFERROR(SUM(BS278:BS282),0)</f>
        <v>28728491</v>
      </c>
      <c r="BT277" s="28">
        <f t="shared" si="41"/>
        <v>28473167</v>
      </c>
      <c r="BU277" s="28">
        <f t="shared" si="41"/>
        <v>27914455</v>
      </c>
      <c r="BV277" s="28">
        <f t="shared" si="41"/>
        <v>27377786</v>
      </c>
      <c r="BW277" s="28">
        <f t="shared" si="41"/>
        <v>28060032</v>
      </c>
      <c r="BX277" s="28">
        <f t="shared" si="41"/>
        <v>26672836</v>
      </c>
      <c r="BY277" s="28">
        <f t="shared" si="41"/>
        <v>25414552</v>
      </c>
      <c r="BZ277" s="28">
        <f t="shared" si="41"/>
        <v>24649235</v>
      </c>
      <c r="CA277" s="28">
        <f t="shared" si="41"/>
        <v>24427784</v>
      </c>
      <c r="CB277" s="28">
        <f t="shared" si="41"/>
        <v>23609050</v>
      </c>
      <c r="CC277" s="28">
        <f t="shared" si="41"/>
        <v>22791065</v>
      </c>
      <c r="CD277" s="28">
        <f t="shared" si="41"/>
        <v>21777356</v>
      </c>
      <c r="CE277" s="28">
        <f t="shared" si="41"/>
        <v>21073852</v>
      </c>
      <c r="CF277" s="28">
        <f t="shared" si="41"/>
        <v>20363513</v>
      </c>
      <c r="CG277" s="28">
        <f t="shared" si="41"/>
        <v>20666993</v>
      </c>
      <c r="CH277" s="28">
        <f t="shared" si="41"/>
        <v>19456411</v>
      </c>
      <c r="CI277" s="28">
        <f t="shared" si="41"/>
        <v>20262155</v>
      </c>
      <c r="CJ277" s="28">
        <f t="shared" si="41"/>
        <v>19841104</v>
      </c>
      <c r="CK277" s="28">
        <f t="shared" si="41"/>
        <v>17894867</v>
      </c>
      <c r="CL277" s="28">
        <f t="shared" si="41"/>
        <v>17472666</v>
      </c>
      <c r="CM277" s="28">
        <f t="shared" si="41"/>
        <v>17297668</v>
      </c>
      <c r="CN277" s="28">
        <f t="shared" si="41"/>
        <v>16872604</v>
      </c>
      <c r="CO277" s="28">
        <f t="shared" si="41"/>
        <v>15828798</v>
      </c>
    </row>
    <row r="278" spans="63:93" ht="19" customHeight="1" x14ac:dyDescent="0.35">
      <c r="BK278" s="1" t="str">
        <f t="shared" ref="BK278:BK283" si="42">_xlfn.CONCAT($BO$203,"|",$BO$276,"|",$BO$277,"|",BO278)</f>
        <v>CEMIG|PATRIMÔNIO LÍQUIDO|Atribuível aos acionistas da empresa controladora|Capital social</v>
      </c>
      <c r="BM278" s="390"/>
      <c r="BO278" s="6" t="s">
        <v>310</v>
      </c>
      <c r="BP278" s="25">
        <v>14308909</v>
      </c>
      <c r="BQ278" s="25">
        <v>14308909</v>
      </c>
      <c r="BR278" s="25">
        <v>14308909</v>
      </c>
      <c r="BS278" s="25">
        <v>14308909</v>
      </c>
      <c r="BT278" s="25">
        <v>14308909</v>
      </c>
      <c r="BU278" s="25">
        <v>14308909</v>
      </c>
      <c r="BV278" s="25">
        <v>14308909</v>
      </c>
      <c r="BW278" s="25">
        <v>14308909</v>
      </c>
      <c r="BX278" s="25">
        <v>14308909</v>
      </c>
      <c r="BY278" s="25">
        <v>11006853</v>
      </c>
      <c r="BZ278" s="25">
        <v>11006853</v>
      </c>
      <c r="CA278" s="25">
        <v>11006853</v>
      </c>
      <c r="CB278" s="25">
        <v>11006853</v>
      </c>
      <c r="CC278" s="25">
        <v>11006853</v>
      </c>
      <c r="CD278" s="25">
        <v>11006853</v>
      </c>
      <c r="CE278" s="25">
        <v>11006853</v>
      </c>
      <c r="CF278" s="25">
        <v>11006853</v>
      </c>
      <c r="CG278" s="25">
        <v>8466810</v>
      </c>
      <c r="CH278" s="25">
        <v>8466810</v>
      </c>
      <c r="CI278" s="25">
        <v>8466810</v>
      </c>
      <c r="CJ278" s="25">
        <v>8466810</v>
      </c>
      <c r="CK278" s="25">
        <v>7593763</v>
      </c>
      <c r="CL278" s="25">
        <v>7593763</v>
      </c>
      <c r="CM278" s="25">
        <v>7593763</v>
      </c>
      <c r="CN278" s="25">
        <v>7293763</v>
      </c>
      <c r="CO278" s="25">
        <v>7293763</v>
      </c>
    </row>
    <row r="279" spans="63:93" ht="19" customHeight="1" x14ac:dyDescent="0.35">
      <c r="BK279" s="1" t="str">
        <f t="shared" si="42"/>
        <v>CEMIG|PATRIMÔNIO LÍQUIDO|Atribuível aos acionistas da empresa controladora|Reservas de capital</v>
      </c>
      <c r="BM279" s="390"/>
      <c r="BO279" s="6" t="s">
        <v>311</v>
      </c>
      <c r="BP279" s="25">
        <v>393093</v>
      </c>
      <c r="BQ279" s="25">
        <v>393093</v>
      </c>
      <c r="BR279" s="25">
        <v>393093</v>
      </c>
      <c r="BS279" s="25">
        <v>393093</v>
      </c>
      <c r="BT279" s="25">
        <v>393093</v>
      </c>
      <c r="BU279" s="25">
        <v>393093</v>
      </c>
      <c r="BV279" s="25">
        <v>393093</v>
      </c>
      <c r="BW279" s="25">
        <v>393093</v>
      </c>
      <c r="BX279" s="25">
        <v>393093</v>
      </c>
      <c r="BY279" s="25">
        <v>2249721</v>
      </c>
      <c r="BZ279" s="25">
        <v>2249721</v>
      </c>
      <c r="CA279" s="25">
        <v>2249721</v>
      </c>
      <c r="CB279" s="25">
        <v>2249721</v>
      </c>
      <c r="CC279" s="25">
        <v>2249721</v>
      </c>
      <c r="CD279" s="25">
        <v>2249721</v>
      </c>
      <c r="CE279" s="25">
        <v>2249721</v>
      </c>
      <c r="CF279" s="25">
        <v>2249721</v>
      </c>
      <c r="CG279" s="25">
        <v>2249721</v>
      </c>
      <c r="CH279" s="25">
        <v>2249721</v>
      </c>
      <c r="CI279" s="25">
        <v>2249721</v>
      </c>
      <c r="CJ279" s="25">
        <v>2249721</v>
      </c>
      <c r="CK279" s="25">
        <v>2249721</v>
      </c>
      <c r="CL279" s="25">
        <v>2249721</v>
      </c>
      <c r="CM279" s="25">
        <v>2249721</v>
      </c>
      <c r="CN279" s="25">
        <v>2249721</v>
      </c>
      <c r="CO279" s="25">
        <v>2249721</v>
      </c>
    </row>
    <row r="280" spans="63:93" ht="19" customHeight="1" x14ac:dyDescent="0.35">
      <c r="BK280" s="1" t="str">
        <f t="shared" si="42"/>
        <v>CEMIG|PATRIMÔNIO LÍQUIDO|Atribuível aos acionistas da empresa controladora|Reservas de lucros</v>
      </c>
      <c r="BM280" s="390"/>
      <c r="BO280" s="6" t="s">
        <v>312</v>
      </c>
      <c r="BP280" s="25">
        <v>14217595</v>
      </c>
      <c r="BQ280" s="25">
        <v>14217595</v>
      </c>
      <c r="BR280" s="25">
        <v>14217595</v>
      </c>
      <c r="BS280" s="25">
        <v>13575648</v>
      </c>
      <c r="BT280" s="25">
        <v>13575648</v>
      </c>
      <c r="BU280" s="25">
        <v>13575648</v>
      </c>
      <c r="BV280" s="25">
        <v>13575648</v>
      </c>
      <c r="BW280" s="25">
        <v>10175461</v>
      </c>
      <c r="BX280" s="25">
        <v>11595308</v>
      </c>
      <c r="BY280" s="25">
        <v>13040736</v>
      </c>
      <c r="BZ280" s="25">
        <v>13040736</v>
      </c>
      <c r="CA280" s="25">
        <v>10394823</v>
      </c>
      <c r="CB280" s="25">
        <v>10394823</v>
      </c>
      <c r="CC280" s="25">
        <v>10394823</v>
      </c>
      <c r="CD280" s="25">
        <v>10394823</v>
      </c>
      <c r="CE280" s="25">
        <v>8408051</v>
      </c>
      <c r="CF280" s="25">
        <v>8408051</v>
      </c>
      <c r="CG280" s="25">
        <v>10703094</v>
      </c>
      <c r="CH280" s="25">
        <v>10948094</v>
      </c>
      <c r="CI280" s="25">
        <v>9187558</v>
      </c>
      <c r="CJ280" s="25">
        <v>9187558</v>
      </c>
      <c r="CK280" s="25">
        <v>10060605</v>
      </c>
      <c r="CL280" s="25">
        <v>10060605</v>
      </c>
      <c r="CM280" s="25">
        <v>8450928</v>
      </c>
      <c r="CN280" s="25">
        <v>8750928</v>
      </c>
      <c r="CO280" s="25">
        <v>8750928</v>
      </c>
    </row>
    <row r="281" spans="63:93" ht="19" customHeight="1" x14ac:dyDescent="0.35">
      <c r="BK281" s="1" t="str">
        <f t="shared" si="42"/>
        <v>CEMIG|PATRIMÔNIO LÍQUIDO|Atribuível aos acionistas da empresa controladora|Ajustes de avaliação patrimonial</v>
      </c>
      <c r="BM281" s="390"/>
      <c r="BO281" s="6" t="s">
        <v>313</v>
      </c>
      <c r="BP281" s="25">
        <v>-376055</v>
      </c>
      <c r="BQ281" s="25">
        <v>-355704</v>
      </c>
      <c r="BR281" s="25">
        <v>-343217</v>
      </c>
      <c r="BS281" s="25">
        <v>-838522</v>
      </c>
      <c r="BT281" s="25">
        <v>-898517</v>
      </c>
      <c r="BU281" s="25">
        <v>-862876</v>
      </c>
      <c r="BV281" s="25">
        <v>-899864</v>
      </c>
      <c r="BW281" s="25">
        <v>-1664663</v>
      </c>
      <c r="BX281" s="25">
        <v>-1661128</v>
      </c>
      <c r="BY281" s="25">
        <v>-1658106</v>
      </c>
      <c r="BZ281" s="25">
        <v>-1648075</v>
      </c>
      <c r="CA281" s="25">
        <v>-1836868</v>
      </c>
      <c r="CB281" s="25">
        <v>-1833851</v>
      </c>
      <c r="CC281" s="25">
        <v>-1836916</v>
      </c>
      <c r="CD281" s="25">
        <v>-1874041</v>
      </c>
      <c r="CE281" s="25">
        <v>-2217950</v>
      </c>
      <c r="CF281" s="25">
        <v>-2214579</v>
      </c>
      <c r="CG281" s="25">
        <v>-2211204</v>
      </c>
      <c r="CH281" s="25">
        <v>-2208214</v>
      </c>
      <c r="CI281" s="25">
        <v>-2442246</v>
      </c>
      <c r="CJ281" s="25">
        <v>-2438406</v>
      </c>
      <c r="CK281" s="25">
        <v>-2435407</v>
      </c>
      <c r="CL281" s="25">
        <v>-2431423</v>
      </c>
      <c r="CM281" s="25">
        <v>-2420179</v>
      </c>
      <c r="CN281" s="25">
        <v>-2415245</v>
      </c>
      <c r="CO281" s="25">
        <v>-2410645</v>
      </c>
    </row>
    <row r="282" spans="63:93" ht="19" customHeight="1" x14ac:dyDescent="0.35">
      <c r="BK282" s="1" t="str">
        <f t="shared" si="42"/>
        <v>CEMIG|PATRIMÔNIO LÍQUIDO|Atribuível aos acionistas da empresa controladora|Lucros acumulados</v>
      </c>
      <c r="BM282" s="390"/>
      <c r="BO282" s="19" t="s">
        <v>314</v>
      </c>
      <c r="BP282" s="25">
        <v>638105</v>
      </c>
      <c r="BQ282" s="25">
        <v>323712</v>
      </c>
      <c r="BR282" s="25">
        <v>0</v>
      </c>
      <c r="BS282" s="25">
        <v>1289363</v>
      </c>
      <c r="BT282" s="25">
        <v>1094034</v>
      </c>
      <c r="BU282" s="25">
        <v>499681</v>
      </c>
      <c r="BV282" s="25">
        <v>0</v>
      </c>
      <c r="BW282" s="25">
        <v>4847232</v>
      </c>
      <c r="BX282" s="25">
        <v>2036654</v>
      </c>
      <c r="BY282" s="25">
        <v>775348</v>
      </c>
      <c r="BZ282" s="25">
        <v>0</v>
      </c>
      <c r="CA282" s="25">
        <v>2613255</v>
      </c>
      <c r="CB282" s="25">
        <v>1791504</v>
      </c>
      <c r="CC282" s="25">
        <v>976584</v>
      </c>
      <c r="CD282" s="25">
        <v>0</v>
      </c>
      <c r="CE282" s="25">
        <v>1627177</v>
      </c>
      <c r="CF282" s="25">
        <v>913467</v>
      </c>
      <c r="CG282" s="25">
        <v>1458572</v>
      </c>
      <c r="CH282" s="25">
        <v>0</v>
      </c>
      <c r="CI282" s="25">
        <v>2800312</v>
      </c>
      <c r="CJ282" s="25">
        <v>2375421</v>
      </c>
      <c r="CK282" s="25">
        <v>426185</v>
      </c>
      <c r="CL282" s="25">
        <v>0</v>
      </c>
      <c r="CM282" s="25">
        <v>1423435</v>
      </c>
      <c r="CN282" s="25">
        <v>993437</v>
      </c>
      <c r="CO282" s="25">
        <v>-54969</v>
      </c>
    </row>
    <row r="283" spans="63:93" ht="20.149999999999999" customHeight="1" x14ac:dyDescent="0.35">
      <c r="BK283" s="1" t="str">
        <f t="shared" si="42"/>
        <v>CEMIG|PATRIMÔNIO LÍQUIDO|Atribuível aos acionistas da empresa controladora|Atribuível aos acionistas não controladores</v>
      </c>
      <c r="BM283" s="390"/>
      <c r="BO283" s="44" t="s">
        <v>315</v>
      </c>
      <c r="BP283" s="45">
        <v>4506</v>
      </c>
      <c r="BQ283" s="45">
        <v>5771</v>
      </c>
      <c r="BR283" s="45">
        <v>5323</v>
      </c>
      <c r="BS283" s="45">
        <v>6168</v>
      </c>
      <c r="BT283" s="65">
        <v>5693</v>
      </c>
      <c r="BU283" s="65">
        <v>5785</v>
      </c>
      <c r="BV283" s="65">
        <v>5293</v>
      </c>
      <c r="BW283" s="65">
        <v>5351</v>
      </c>
      <c r="BX283" s="65">
        <v>4788</v>
      </c>
      <c r="BY283" s="65">
        <v>5602</v>
      </c>
      <c r="BZ283" s="65">
        <v>5958</v>
      </c>
      <c r="CA283" s="65">
        <v>6184</v>
      </c>
      <c r="CB283" s="65">
        <v>5585</v>
      </c>
      <c r="CC283" s="65">
        <v>6365</v>
      </c>
      <c r="CD283" s="65">
        <v>5910</v>
      </c>
      <c r="CE283" s="65">
        <v>5355</v>
      </c>
      <c r="CF283" s="65">
        <v>4870</v>
      </c>
      <c r="CG283" s="65">
        <v>5635</v>
      </c>
      <c r="CH283" s="65">
        <v>5354</v>
      </c>
      <c r="CI283" s="65">
        <v>5200</v>
      </c>
      <c r="CJ283" s="65">
        <v>4904</v>
      </c>
      <c r="CK283" s="65">
        <v>4960</v>
      </c>
      <c r="CL283" s="65">
        <v>4682</v>
      </c>
      <c r="CM283" s="65">
        <v>4573</v>
      </c>
      <c r="CN283" s="65">
        <v>4458</v>
      </c>
      <c r="CO283" s="65">
        <v>4519</v>
      </c>
    </row>
    <row r="284" spans="63:93" ht="28" customHeight="1" x14ac:dyDescent="0.35">
      <c r="BK284" s="81" t="str">
        <f>BO284</f>
        <v>TOTAL DO PATRIMÔNIO LÍQUIDO</v>
      </c>
      <c r="BL284" s="81"/>
      <c r="BO284" s="39" t="s">
        <v>243</v>
      </c>
      <c r="BP284" s="80">
        <f t="shared" ref="BP284:BQ284" si="43">IFERROR(SUM(BP283,BP277),0)</f>
        <v>29186153</v>
      </c>
      <c r="BQ284" s="80">
        <f t="shared" si="43"/>
        <v>28893376</v>
      </c>
      <c r="BR284" s="80">
        <f>IFERROR(SUM(BR283,BR277),0)</f>
        <v>28581703</v>
      </c>
      <c r="BS284" s="80">
        <f t="shared" ref="BS284:CO284" si="44">IFERROR(SUM(BS283,BS277),0)</f>
        <v>28734659</v>
      </c>
      <c r="BT284" s="80">
        <f t="shared" si="44"/>
        <v>28478860</v>
      </c>
      <c r="BU284" s="80">
        <f t="shared" si="44"/>
        <v>27920240</v>
      </c>
      <c r="BV284" s="80">
        <f t="shared" si="44"/>
        <v>27383079</v>
      </c>
      <c r="BW284" s="80">
        <f t="shared" si="44"/>
        <v>28065383</v>
      </c>
      <c r="BX284" s="80">
        <f t="shared" si="44"/>
        <v>26677624</v>
      </c>
      <c r="BY284" s="80">
        <f t="shared" si="44"/>
        <v>25420154</v>
      </c>
      <c r="BZ284" s="80">
        <f t="shared" si="44"/>
        <v>24655193</v>
      </c>
      <c r="CA284" s="80">
        <f t="shared" si="44"/>
        <v>24433968</v>
      </c>
      <c r="CB284" s="80">
        <f t="shared" si="44"/>
        <v>23614635</v>
      </c>
      <c r="CC284" s="80">
        <f t="shared" si="44"/>
        <v>22797430</v>
      </c>
      <c r="CD284" s="80">
        <f t="shared" si="44"/>
        <v>21783266</v>
      </c>
      <c r="CE284" s="80">
        <f t="shared" si="44"/>
        <v>21079207</v>
      </c>
      <c r="CF284" s="80">
        <f t="shared" si="44"/>
        <v>20368383</v>
      </c>
      <c r="CG284" s="80">
        <f t="shared" si="44"/>
        <v>20672628</v>
      </c>
      <c r="CH284" s="80">
        <f t="shared" si="44"/>
        <v>19461765</v>
      </c>
      <c r="CI284" s="80">
        <f t="shared" si="44"/>
        <v>20267355</v>
      </c>
      <c r="CJ284" s="80">
        <f t="shared" si="44"/>
        <v>19846008</v>
      </c>
      <c r="CK284" s="80">
        <f t="shared" si="44"/>
        <v>17899827</v>
      </c>
      <c r="CL284" s="80">
        <f t="shared" si="44"/>
        <v>17477348</v>
      </c>
      <c r="CM284" s="80">
        <f t="shared" si="44"/>
        <v>17302241</v>
      </c>
      <c r="CN284" s="80">
        <f t="shared" si="44"/>
        <v>16877062</v>
      </c>
      <c r="CO284" s="80">
        <f t="shared" si="44"/>
        <v>15833317</v>
      </c>
    </row>
    <row r="286" spans="63:93" ht="28" customHeight="1" x14ac:dyDescent="0.35">
      <c r="BO286" s="39" t="s">
        <v>244</v>
      </c>
      <c r="BP286" s="80">
        <f t="shared" ref="BP286:BQ286" si="45">IFERROR(SUM(BP284,BP274),0)</f>
        <v>70861249</v>
      </c>
      <c r="BQ286" s="80">
        <f t="shared" si="45"/>
        <v>68174293</v>
      </c>
      <c r="BR286" s="80">
        <f>IFERROR(SUM(BR284,BR274),0)</f>
        <v>67028076</v>
      </c>
      <c r="BS286" s="80">
        <f t="shared" ref="BS286:CO286" si="46">IFERROR(SUM(BS284,BS274),0)</f>
        <v>64750143</v>
      </c>
      <c r="BT286" s="80">
        <f t="shared" si="46"/>
        <v>63411229</v>
      </c>
      <c r="BU286" s="80">
        <f t="shared" si="46"/>
        <v>63901931</v>
      </c>
      <c r="BV286" s="80">
        <f t="shared" si="46"/>
        <v>59726836</v>
      </c>
      <c r="BW286" s="80">
        <f t="shared" si="46"/>
        <v>63006898</v>
      </c>
      <c r="BX286" s="80">
        <f t="shared" si="46"/>
        <v>56740773</v>
      </c>
      <c r="BY286" s="80">
        <f t="shared" si="46"/>
        <v>57442030</v>
      </c>
      <c r="BZ286" s="80">
        <f t="shared" si="46"/>
        <v>55000080</v>
      </c>
      <c r="CA286" s="80">
        <f t="shared" si="46"/>
        <v>56165430</v>
      </c>
      <c r="CB286" s="80">
        <f t="shared" si="46"/>
        <v>54543064</v>
      </c>
      <c r="CC286" s="80">
        <f t="shared" si="46"/>
        <v>54085360</v>
      </c>
      <c r="CD286" s="80">
        <f t="shared" si="46"/>
        <v>53670837</v>
      </c>
      <c r="CE286" s="80">
        <f t="shared" si="46"/>
        <v>54514041</v>
      </c>
      <c r="CF286" s="80">
        <f t="shared" si="46"/>
        <v>53221386</v>
      </c>
      <c r="CG286" s="80">
        <f t="shared" si="46"/>
        <v>51067392</v>
      </c>
      <c r="CH286" s="80">
        <f t="shared" si="46"/>
        <v>52045808</v>
      </c>
      <c r="CI286" s="80">
        <f t="shared" si="46"/>
        <v>53116666</v>
      </c>
      <c r="CJ286" s="80">
        <f t="shared" si="46"/>
        <v>53839254</v>
      </c>
      <c r="CK286" s="80">
        <f t="shared" si="46"/>
        <v>53011054</v>
      </c>
      <c r="CL286" s="80">
        <f t="shared" si="46"/>
        <v>54083080</v>
      </c>
      <c r="CM286" s="80">
        <f t="shared" si="46"/>
        <v>53326157</v>
      </c>
      <c r="CN286" s="80">
        <f t="shared" si="46"/>
        <v>52535140</v>
      </c>
      <c r="CO286" s="80">
        <f t="shared" si="46"/>
        <v>50381487</v>
      </c>
    </row>
    <row r="287" spans="63:93" ht="35.15" customHeight="1" x14ac:dyDescent="0.35"/>
    <row r="288" spans="63:93" ht="35.15" customHeight="1" x14ac:dyDescent="0.35"/>
    <row r="289" spans="63:93" ht="40" customHeight="1" x14ac:dyDescent="0.35">
      <c r="BO289" s="479" t="s">
        <v>98</v>
      </c>
      <c r="BP289" s="479"/>
      <c r="BQ289" s="479"/>
      <c r="BR289" s="479"/>
      <c r="BS289" s="479"/>
      <c r="BT289" s="479"/>
      <c r="BU289" s="479"/>
      <c r="BV289" s="479"/>
      <c r="BW289" s="479"/>
      <c r="BX289" s="479"/>
      <c r="BY289" s="479"/>
      <c r="BZ289" s="479"/>
      <c r="CA289" s="479"/>
      <c r="CB289" s="479"/>
      <c r="CC289" s="479"/>
      <c r="CD289" s="479"/>
      <c r="CE289" s="479"/>
      <c r="CF289" s="479"/>
      <c r="CG289" s="479"/>
      <c r="CH289" s="479"/>
      <c r="CI289" s="479"/>
      <c r="CJ289" s="479"/>
      <c r="CK289" s="479"/>
      <c r="CL289" s="479"/>
      <c r="CM289" s="479"/>
      <c r="CN289" s="479"/>
      <c r="CO289" s="479"/>
    </row>
    <row r="290" spans="63:93" ht="15" customHeight="1" x14ac:dyDescent="0.35">
      <c r="BO290" s="83" t="s">
        <v>25</v>
      </c>
      <c r="BP290" s="83"/>
      <c r="BQ290" s="83"/>
      <c r="BR290" s="29"/>
      <c r="BS290" s="29"/>
      <c r="BT290" s="40"/>
      <c r="BU290" s="29"/>
      <c r="BV290" s="29"/>
      <c r="BW290" s="29"/>
      <c r="BX290" s="29"/>
      <c r="BY290" s="40" t="s">
        <v>25</v>
      </c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  <c r="CJ290" s="29"/>
      <c r="CK290" s="29"/>
    </row>
    <row r="291" spans="63:93" ht="35.15" customHeight="1" x14ac:dyDescent="0.35">
      <c r="BK291" s="81" t="str">
        <f>BO291</f>
        <v>ATIVO</v>
      </c>
      <c r="BL291" s="81"/>
      <c r="BO291" s="169" t="s">
        <v>235</v>
      </c>
      <c r="BP291" s="166" t="str">
        <f t="shared" ref="BP291:CO291" si="47">BP205</f>
        <v>jun | 2026</v>
      </c>
      <c r="BQ291" s="166" t="str">
        <f t="shared" si="47"/>
        <v>mar | 2026</v>
      </c>
      <c r="BR291" s="166" t="str">
        <f t="shared" si="47"/>
        <v>dez | 2025</v>
      </c>
      <c r="BS291" s="166" t="str">
        <f t="shared" si="47"/>
        <v>set | 2025</v>
      </c>
      <c r="BT291" s="166" t="str">
        <f t="shared" si="47"/>
        <v>jun | 2025</v>
      </c>
      <c r="BU291" s="166" t="str">
        <f t="shared" si="47"/>
        <v>mar | 2025</v>
      </c>
      <c r="BV291" s="166" t="str">
        <f t="shared" si="47"/>
        <v>dez | 2024</v>
      </c>
      <c r="BW291" s="166" t="str">
        <f t="shared" si="47"/>
        <v>set | 2024</v>
      </c>
      <c r="BX291" s="166" t="str">
        <f t="shared" si="47"/>
        <v>jun | 2024</v>
      </c>
      <c r="BY291" s="166" t="str">
        <f t="shared" si="47"/>
        <v>mar | 2024</v>
      </c>
      <c r="BZ291" s="166" t="str">
        <f t="shared" si="47"/>
        <v>dez | 2023</v>
      </c>
      <c r="CA291" s="166" t="str">
        <f t="shared" si="47"/>
        <v>set | 2023</v>
      </c>
      <c r="CB291" s="166" t="str">
        <f t="shared" si="47"/>
        <v>jun | 2023</v>
      </c>
      <c r="CC291" s="166" t="str">
        <f t="shared" si="47"/>
        <v>mar | 2023</v>
      </c>
      <c r="CD291" s="166" t="str">
        <f t="shared" si="47"/>
        <v>dez | 2022</v>
      </c>
      <c r="CE291" s="166" t="str">
        <f t="shared" si="47"/>
        <v>set | 2022</v>
      </c>
      <c r="CF291" s="166" t="str">
        <f t="shared" si="47"/>
        <v>jun | 2022</v>
      </c>
      <c r="CG291" s="166" t="str">
        <f t="shared" si="47"/>
        <v>mar | 2022</v>
      </c>
      <c r="CH291" s="166" t="str">
        <f t="shared" si="47"/>
        <v>dez | 2021</v>
      </c>
      <c r="CI291" s="166" t="str">
        <f t="shared" si="47"/>
        <v>set | 2021</v>
      </c>
      <c r="CJ291" s="166" t="str">
        <f t="shared" si="47"/>
        <v>jun | 2021</v>
      </c>
      <c r="CK291" s="166" t="str">
        <f t="shared" si="47"/>
        <v>mar | 2021</v>
      </c>
      <c r="CL291" s="166" t="str">
        <f t="shared" si="47"/>
        <v>dez | 2020</v>
      </c>
      <c r="CM291" s="166" t="str">
        <f t="shared" si="47"/>
        <v>set | 2020</v>
      </c>
      <c r="CN291" s="166" t="str">
        <f t="shared" si="47"/>
        <v>jun | 2020</v>
      </c>
      <c r="CO291" s="166" t="str">
        <f t="shared" si="47"/>
        <v>mar | 2020</v>
      </c>
    </row>
    <row r="292" spans="63:93" ht="23.15" customHeight="1" x14ac:dyDescent="0.35">
      <c r="BK292" s="81" t="str">
        <f>BO292</f>
        <v>CIRCULANTE</v>
      </c>
      <c r="BL292" s="81"/>
      <c r="BO292" s="42" t="s">
        <v>237</v>
      </c>
      <c r="BP292" s="43">
        <f t="shared" ref="BP292:CO292" si="48">IFERROR(SUM(BP293:BP305),0)</f>
        <v>10055599</v>
      </c>
      <c r="BQ292" s="43">
        <f t="shared" si="48"/>
        <v>9760739</v>
      </c>
      <c r="BR292" s="43">
        <f t="shared" si="48"/>
        <v>9607347</v>
      </c>
      <c r="BS292" s="43">
        <f t="shared" si="48"/>
        <v>8330132</v>
      </c>
      <c r="BT292" s="43">
        <f t="shared" si="48"/>
        <v>9029762</v>
      </c>
      <c r="BU292" s="43">
        <f t="shared" si="48"/>
        <v>9657321</v>
      </c>
      <c r="BV292" s="43">
        <f t="shared" si="48"/>
        <v>7806006</v>
      </c>
      <c r="BW292" s="43">
        <f t="shared" si="48"/>
        <v>8705265</v>
      </c>
      <c r="BX292" s="43">
        <f t="shared" si="48"/>
        <v>6383563</v>
      </c>
      <c r="BY292" s="43">
        <f t="shared" si="48"/>
        <v>7314574</v>
      </c>
      <c r="BZ292" s="43">
        <f t="shared" si="48"/>
        <v>6186083</v>
      </c>
      <c r="CA292" s="43">
        <f t="shared" si="48"/>
        <v>6783236</v>
      </c>
      <c r="CB292" s="43">
        <f t="shared" si="48"/>
        <v>7165719</v>
      </c>
      <c r="CC292" s="43">
        <f t="shared" si="48"/>
        <v>6623027</v>
      </c>
      <c r="CD292" s="43">
        <f t="shared" si="48"/>
        <v>6990889</v>
      </c>
      <c r="CE292" s="43">
        <f t="shared" si="48"/>
        <v>7645430</v>
      </c>
      <c r="CF292" s="43">
        <f t="shared" si="48"/>
        <v>8254104</v>
      </c>
      <c r="CG292" s="43">
        <f t="shared" si="48"/>
        <v>7426037</v>
      </c>
      <c r="CH292" s="43">
        <f t="shared" si="48"/>
        <v>7760978</v>
      </c>
      <c r="CI292" s="43">
        <f t="shared" si="48"/>
        <v>7894779</v>
      </c>
      <c r="CJ292" s="43">
        <f t="shared" si="48"/>
        <v>7590138</v>
      </c>
      <c r="CK292" s="43">
        <f t="shared" si="48"/>
        <v>7275074</v>
      </c>
      <c r="CL292" s="43">
        <f t="shared" si="48"/>
        <v>8092769</v>
      </c>
      <c r="CM292" s="43">
        <f t="shared" si="48"/>
        <v>8520536</v>
      </c>
      <c r="CN292" s="43">
        <f t="shared" si="48"/>
        <v>7820588</v>
      </c>
      <c r="CO292" s="43">
        <f t="shared" si="48"/>
        <v>5679147</v>
      </c>
    </row>
    <row r="293" spans="63:93" ht="19" customHeight="1" x14ac:dyDescent="0.35">
      <c r="BK293" s="1" t="str">
        <f>_xlfn.CONCAT($BO$289,"|",$BO$291,"|",$BO$292,"|",BO293)</f>
        <v>CEMIG D|ATIVO|CIRCULANTE|Caixa e equivalentes de caixa</v>
      </c>
      <c r="BM293" s="392"/>
      <c r="BO293" s="5" t="s">
        <v>271</v>
      </c>
      <c r="BP293" s="21">
        <v>659587</v>
      </c>
      <c r="BQ293" s="21">
        <v>438376</v>
      </c>
      <c r="BR293" s="21">
        <v>918869</v>
      </c>
      <c r="BS293" s="21">
        <v>572790</v>
      </c>
      <c r="BT293" s="59">
        <v>1112412</v>
      </c>
      <c r="BU293" s="59">
        <v>1581388</v>
      </c>
      <c r="BV293" s="59">
        <v>951779</v>
      </c>
      <c r="BW293" s="59">
        <v>942081</v>
      </c>
      <c r="BX293" s="59">
        <v>610450</v>
      </c>
      <c r="BY293" s="59">
        <v>1234159</v>
      </c>
      <c r="BZ293" s="59">
        <v>447967</v>
      </c>
      <c r="CA293" s="59">
        <v>983161</v>
      </c>
      <c r="CB293" s="59">
        <v>899048</v>
      </c>
      <c r="CC293" s="59">
        <v>440104</v>
      </c>
      <c r="CD293" s="59">
        <v>440700</v>
      </c>
      <c r="CE293" s="59">
        <v>571799</v>
      </c>
      <c r="CF293" s="59">
        <v>788847</v>
      </c>
      <c r="CG293" s="59">
        <v>346463</v>
      </c>
      <c r="CH293" s="59">
        <v>198694</v>
      </c>
      <c r="CI293" s="59">
        <v>204127</v>
      </c>
      <c r="CJ293" s="136">
        <v>580741</v>
      </c>
      <c r="CK293" s="136">
        <v>691380</v>
      </c>
      <c r="CL293" s="136">
        <v>659045</v>
      </c>
      <c r="CM293" s="136">
        <v>819642</v>
      </c>
      <c r="CN293" s="136">
        <v>408447</v>
      </c>
      <c r="CO293" s="136">
        <v>292589</v>
      </c>
    </row>
    <row r="294" spans="63:93" ht="19" customHeight="1" x14ac:dyDescent="0.35">
      <c r="BK294" s="1" t="str">
        <f t="shared" ref="BK294:BK305" si="49">_xlfn.CONCAT($BO$289,"|",$BO$291,"|",$BO$292,"|",BO294)</f>
        <v>CEMIG D|ATIVO|CIRCULANTE|Títulos e valores mobiliários</v>
      </c>
      <c r="BM294" s="392"/>
      <c r="BO294" s="6" t="s">
        <v>272</v>
      </c>
      <c r="BP294" s="21">
        <v>282462</v>
      </c>
      <c r="BQ294" s="21">
        <v>2993</v>
      </c>
      <c r="BR294" s="21">
        <v>349138</v>
      </c>
      <c r="BS294" s="21">
        <v>199982</v>
      </c>
      <c r="BT294" s="59">
        <v>556055</v>
      </c>
      <c r="BU294" s="59">
        <v>611719</v>
      </c>
      <c r="BV294" s="59">
        <v>118511</v>
      </c>
      <c r="BW294" s="59">
        <v>1633964</v>
      </c>
      <c r="BX294" s="59">
        <v>102944</v>
      </c>
      <c r="BY294" s="59">
        <v>428738</v>
      </c>
      <c r="BZ294" s="59">
        <v>2781</v>
      </c>
      <c r="CA294" s="59">
        <v>247995</v>
      </c>
      <c r="CB294" s="59">
        <v>671821</v>
      </c>
      <c r="CC294" s="59">
        <v>1003</v>
      </c>
      <c r="CD294" s="59">
        <v>279717</v>
      </c>
      <c r="CE294" s="59">
        <v>911413</v>
      </c>
      <c r="CF294" s="59">
        <v>580523</v>
      </c>
      <c r="CG294" s="59">
        <v>2308</v>
      </c>
      <c r="CH294" s="59">
        <v>342243</v>
      </c>
      <c r="CI294" s="59">
        <v>927114</v>
      </c>
      <c r="CJ294" s="136">
        <v>1176744</v>
      </c>
      <c r="CK294" s="136">
        <v>1242795</v>
      </c>
      <c r="CL294" s="136">
        <v>2104119</v>
      </c>
      <c r="CM294" s="136">
        <v>2212598</v>
      </c>
      <c r="CN294" s="136">
        <v>1375146</v>
      </c>
      <c r="CO294" s="136">
        <v>858177</v>
      </c>
    </row>
    <row r="295" spans="63:93" ht="19" customHeight="1" x14ac:dyDescent="0.35">
      <c r="BK295" s="1" t="str">
        <f t="shared" si="49"/>
        <v>CEMIG D|ATIVO|CIRCULANTE|Consumidores e revendedores</v>
      </c>
      <c r="BM295" s="392"/>
      <c r="BO295" s="6" t="s">
        <v>316</v>
      </c>
      <c r="BP295" s="21">
        <v>4221605</v>
      </c>
      <c r="BQ295" s="21">
        <v>3981630</v>
      </c>
      <c r="BR295" s="21">
        <v>3990660</v>
      </c>
      <c r="BS295" s="21">
        <v>3812766</v>
      </c>
      <c r="BT295" s="59">
        <v>3901585</v>
      </c>
      <c r="BU295" s="59">
        <v>3734387</v>
      </c>
      <c r="BV295" s="59">
        <v>3849309</v>
      </c>
      <c r="BW295" s="59">
        <v>3537741</v>
      </c>
      <c r="BX295" s="59">
        <v>3445904</v>
      </c>
      <c r="BY295" s="59">
        <v>3438201</v>
      </c>
      <c r="BZ295" s="59">
        <v>3545064</v>
      </c>
      <c r="CA295" s="59">
        <v>3236029</v>
      </c>
      <c r="CB295" s="59">
        <v>3047560</v>
      </c>
      <c r="CC295" s="59">
        <v>2989645</v>
      </c>
      <c r="CD295" s="59">
        <v>2761370</v>
      </c>
      <c r="CE295" s="59">
        <v>2777032</v>
      </c>
      <c r="CF295" s="59">
        <v>2822406</v>
      </c>
      <c r="CG295" s="59">
        <v>3243730</v>
      </c>
      <c r="CH295" s="59">
        <v>3021976</v>
      </c>
      <c r="CI295" s="59">
        <v>3314687</v>
      </c>
      <c r="CJ295" s="136">
        <v>3034147</v>
      </c>
      <c r="CK295" s="136">
        <v>2955628</v>
      </c>
      <c r="CL295" s="136">
        <v>2989608</v>
      </c>
      <c r="CM295" s="136">
        <v>2999316</v>
      </c>
      <c r="CN295" s="136">
        <v>2881133</v>
      </c>
      <c r="CO295" s="136">
        <v>3000659</v>
      </c>
    </row>
    <row r="296" spans="63:93" ht="19" customHeight="1" x14ac:dyDescent="0.35">
      <c r="BK296" s="1" t="str">
        <f t="shared" si="49"/>
        <v>CEMIG D|ATIVO|CIRCULANTE|Concessionários - transporte de energia</v>
      </c>
      <c r="BM296" s="392"/>
      <c r="BO296" s="6" t="s">
        <v>317</v>
      </c>
      <c r="BP296" s="21">
        <v>490690</v>
      </c>
      <c r="BQ296" s="21">
        <v>480047</v>
      </c>
      <c r="BR296" s="21">
        <v>436468</v>
      </c>
      <c r="BS296" s="21">
        <v>439084</v>
      </c>
      <c r="BT296" s="59">
        <v>464553</v>
      </c>
      <c r="BU296" s="59">
        <v>469589</v>
      </c>
      <c r="BV296" s="59">
        <v>439026</v>
      </c>
      <c r="BW296" s="59">
        <v>436130</v>
      </c>
      <c r="BX296" s="59">
        <v>463324</v>
      </c>
      <c r="BY296" s="59">
        <v>401347</v>
      </c>
      <c r="BZ296" s="59">
        <v>374362</v>
      </c>
      <c r="CA296" s="59">
        <v>340591</v>
      </c>
      <c r="CB296" s="59">
        <v>348870</v>
      </c>
      <c r="CC296" s="59">
        <v>376365</v>
      </c>
      <c r="CD296" s="59">
        <v>333642</v>
      </c>
      <c r="CE296" s="59">
        <v>340977</v>
      </c>
      <c r="CF296" s="59">
        <v>277473</v>
      </c>
      <c r="CG296" s="59">
        <v>269116</v>
      </c>
      <c r="CH296" s="59">
        <v>264910</v>
      </c>
      <c r="CI296" s="59">
        <v>270201</v>
      </c>
      <c r="CJ296" s="136">
        <v>261355</v>
      </c>
      <c r="CK296" s="136">
        <v>287090</v>
      </c>
      <c r="CL296" s="136">
        <v>257540</v>
      </c>
      <c r="CM296" s="136">
        <v>262912</v>
      </c>
      <c r="CN296" s="136">
        <v>240549</v>
      </c>
      <c r="CO296" s="136">
        <v>248294</v>
      </c>
    </row>
    <row r="297" spans="63:93" ht="19" customHeight="1" x14ac:dyDescent="0.35">
      <c r="BK297" s="1" t="str">
        <f t="shared" si="49"/>
        <v>CEMIG D|ATIVO|CIRCULANTE|Tributos a recuperar</v>
      </c>
      <c r="BM297" s="392"/>
      <c r="BO297" s="6" t="s">
        <v>276</v>
      </c>
      <c r="BP297" s="21">
        <v>576101</v>
      </c>
      <c r="BQ297" s="21">
        <v>549179</v>
      </c>
      <c r="BR297" s="21">
        <v>500205</v>
      </c>
      <c r="BS297" s="21">
        <v>486417</v>
      </c>
      <c r="BT297" s="59">
        <v>476533</v>
      </c>
      <c r="BU297" s="59">
        <v>456811</v>
      </c>
      <c r="BV297" s="59">
        <v>437033</v>
      </c>
      <c r="BW297" s="59">
        <v>539858</v>
      </c>
      <c r="BX297" s="59">
        <v>461810</v>
      </c>
      <c r="BY297" s="59">
        <v>447589</v>
      </c>
      <c r="BZ297" s="59">
        <v>550472</v>
      </c>
      <c r="CA297" s="59">
        <v>719814</v>
      </c>
      <c r="CB297" s="59">
        <v>986261</v>
      </c>
      <c r="CC297" s="59">
        <v>1456922</v>
      </c>
      <c r="CD297" s="59">
        <v>1828665</v>
      </c>
      <c r="CE297" s="59">
        <v>1397399</v>
      </c>
      <c r="CF297" s="59">
        <v>1513515</v>
      </c>
      <c r="CG297" s="59">
        <v>1836335</v>
      </c>
      <c r="CH297" s="59">
        <v>1907198</v>
      </c>
      <c r="CI297" s="59">
        <v>1875003</v>
      </c>
      <c r="CJ297" s="136">
        <v>1797392</v>
      </c>
      <c r="CK297" s="136">
        <v>1564397</v>
      </c>
      <c r="CL297" s="136">
        <v>1483677</v>
      </c>
      <c r="CM297" s="136">
        <v>1638979</v>
      </c>
      <c r="CN297" s="136">
        <v>1706207</v>
      </c>
      <c r="CO297" s="136">
        <v>33445</v>
      </c>
    </row>
    <row r="298" spans="63:93" ht="19" customHeight="1" x14ac:dyDescent="0.35">
      <c r="BK298" s="1" t="str">
        <f t="shared" si="49"/>
        <v>CEMIG D|ATIVO|CIRCULANTE|Fundos vinculados</v>
      </c>
      <c r="BM298" s="392"/>
      <c r="BO298" s="6" t="s">
        <v>280</v>
      </c>
      <c r="BP298" s="21">
        <v>18924</v>
      </c>
      <c r="BQ298" s="21">
        <v>762418</v>
      </c>
      <c r="BR298" s="21">
        <v>204418</v>
      </c>
      <c r="BS298" s="21">
        <v>15584</v>
      </c>
      <c r="BT298" s="59">
        <v>14359</v>
      </c>
      <c r="BU298" s="59">
        <v>757117</v>
      </c>
      <c r="BV298" s="59">
        <v>196059</v>
      </c>
      <c r="BW298" s="59">
        <v>0</v>
      </c>
      <c r="BX298" s="59">
        <v>0</v>
      </c>
      <c r="BY298" s="59">
        <v>0</v>
      </c>
      <c r="BZ298" s="59">
        <v>11532</v>
      </c>
      <c r="CA298" s="59">
        <v>0</v>
      </c>
      <c r="CB298" s="59">
        <v>0</v>
      </c>
      <c r="CC298" s="59">
        <v>0</v>
      </c>
      <c r="CD298" s="59">
        <v>0</v>
      </c>
      <c r="CE298" s="59">
        <v>0</v>
      </c>
      <c r="CF298" s="59">
        <v>0</v>
      </c>
      <c r="CG298" s="59">
        <v>0</v>
      </c>
      <c r="CH298" s="59">
        <v>0</v>
      </c>
      <c r="CI298" s="59">
        <v>0</v>
      </c>
      <c r="CJ298" s="136">
        <v>0</v>
      </c>
      <c r="CK298" s="136">
        <v>0</v>
      </c>
      <c r="CL298" s="136">
        <v>0</v>
      </c>
      <c r="CM298" s="136">
        <v>0</v>
      </c>
      <c r="CN298" s="136">
        <v>0</v>
      </c>
      <c r="CO298" s="136">
        <v>0</v>
      </c>
    </row>
    <row r="299" spans="63:93" ht="19" customHeight="1" x14ac:dyDescent="0.35">
      <c r="BK299" s="1" t="str">
        <f t="shared" si="49"/>
        <v>CEMIG D|ATIVO|CIRCULANTE|Imposto de renda e contribuição social a recuperar</v>
      </c>
      <c r="BM299" s="392"/>
      <c r="BO299" s="6" t="s">
        <v>277</v>
      </c>
      <c r="BP299" s="21">
        <v>242990</v>
      </c>
      <c r="BQ299" s="21">
        <v>202146</v>
      </c>
      <c r="BR299" s="21">
        <v>227694</v>
      </c>
      <c r="BS299" s="21">
        <v>107647</v>
      </c>
      <c r="BT299" s="59">
        <v>60451</v>
      </c>
      <c r="BU299" s="59">
        <v>25567</v>
      </c>
      <c r="BV299" s="59">
        <v>0</v>
      </c>
      <c r="BW299" s="59">
        <v>0</v>
      </c>
      <c r="BX299" s="59">
        <v>0</v>
      </c>
      <c r="BY299" s="59">
        <v>19684</v>
      </c>
      <c r="BZ299" s="59">
        <v>0</v>
      </c>
      <c r="CA299" s="59">
        <v>0</v>
      </c>
      <c r="CB299" s="59">
        <v>30960</v>
      </c>
      <c r="CC299" s="59">
        <v>0</v>
      </c>
      <c r="CD299" s="59">
        <v>0</v>
      </c>
      <c r="CE299" s="59">
        <v>22525</v>
      </c>
      <c r="CF299" s="59">
        <v>196553</v>
      </c>
      <c r="CG299" s="59">
        <v>40740</v>
      </c>
      <c r="CH299" s="59">
        <v>45363</v>
      </c>
      <c r="CI299" s="59">
        <v>51227</v>
      </c>
      <c r="CJ299" s="136">
        <v>51227</v>
      </c>
      <c r="CK299" s="136">
        <v>11309</v>
      </c>
      <c r="CL299" s="136">
        <v>128539</v>
      </c>
      <c r="CM299" s="136">
        <v>138028</v>
      </c>
      <c r="CN299" s="136">
        <v>72500</v>
      </c>
      <c r="CO299" s="136">
        <v>121896</v>
      </c>
    </row>
    <row r="300" spans="63:93" ht="19" customHeight="1" x14ac:dyDescent="0.35">
      <c r="BK300" s="1" t="str">
        <f t="shared" si="49"/>
        <v>CEMIG D|ATIVO|CIRCULANTE|Estoques</v>
      </c>
      <c r="BO300" s="6" t="s">
        <v>318</v>
      </c>
      <c r="BP300" s="79">
        <v>0</v>
      </c>
      <c r="BQ300" s="79">
        <v>0</v>
      </c>
      <c r="BR300" s="79">
        <v>0</v>
      </c>
      <c r="BS300" s="21">
        <v>0</v>
      </c>
      <c r="BT300" s="59">
        <v>0</v>
      </c>
      <c r="BU300" s="59">
        <v>0</v>
      </c>
      <c r="BV300" s="59">
        <v>0</v>
      </c>
      <c r="BW300" s="59">
        <v>0</v>
      </c>
      <c r="BX300" s="59">
        <v>0</v>
      </c>
      <c r="BY300" s="59">
        <v>0</v>
      </c>
      <c r="BZ300" s="59">
        <v>0</v>
      </c>
      <c r="CA300" s="59">
        <v>0</v>
      </c>
      <c r="CB300" s="59">
        <v>27940</v>
      </c>
      <c r="CC300" s="59">
        <v>27479</v>
      </c>
      <c r="CD300" s="59">
        <v>30259</v>
      </c>
      <c r="CE300" s="59">
        <v>28925</v>
      </c>
      <c r="CF300" s="59">
        <v>24874</v>
      </c>
      <c r="CG300" s="59">
        <v>26761</v>
      </c>
      <c r="CH300" s="59">
        <v>29963</v>
      </c>
      <c r="CI300" s="59">
        <v>27122</v>
      </c>
      <c r="CJ300" s="136">
        <v>28966</v>
      </c>
      <c r="CK300" s="136">
        <v>30646</v>
      </c>
      <c r="CL300" s="136">
        <v>29312</v>
      </c>
      <c r="CM300" s="136">
        <v>28734</v>
      </c>
      <c r="CN300" s="136">
        <v>27874</v>
      </c>
      <c r="CO300" s="136">
        <v>27924</v>
      </c>
    </row>
    <row r="301" spans="63:93" ht="19" customHeight="1" x14ac:dyDescent="0.35">
      <c r="BK301" s="1" t="str">
        <f t="shared" si="49"/>
        <v>CEMIG D|ATIVO|CIRCULANTE|Contribuição de iluminação pública</v>
      </c>
      <c r="BM301" s="390"/>
      <c r="BO301" s="6" t="s">
        <v>281</v>
      </c>
      <c r="BP301" s="21">
        <v>342251</v>
      </c>
      <c r="BQ301" s="21">
        <v>330605</v>
      </c>
      <c r="BR301" s="21">
        <v>340671</v>
      </c>
      <c r="BS301" s="21">
        <v>340259</v>
      </c>
      <c r="BT301" s="59">
        <v>327081</v>
      </c>
      <c r="BU301" s="59">
        <v>309369</v>
      </c>
      <c r="BV301" s="59">
        <v>297227</v>
      </c>
      <c r="BW301" s="59">
        <v>269306</v>
      </c>
      <c r="BX301" s="59">
        <v>257049</v>
      </c>
      <c r="BY301" s="59">
        <v>266291</v>
      </c>
      <c r="BZ301" s="59">
        <v>260730</v>
      </c>
      <c r="CA301" s="59">
        <v>239539</v>
      </c>
      <c r="CB301" s="59">
        <v>232583</v>
      </c>
      <c r="CC301" s="59">
        <v>225061</v>
      </c>
      <c r="CD301" s="59">
        <v>207286</v>
      </c>
      <c r="CE301" s="59">
        <v>201330</v>
      </c>
      <c r="CF301" s="59">
        <v>198737</v>
      </c>
      <c r="CG301" s="59">
        <v>247283</v>
      </c>
      <c r="CH301" s="59">
        <v>233315</v>
      </c>
      <c r="CI301" s="59">
        <v>237025</v>
      </c>
      <c r="CJ301" s="136">
        <v>197137</v>
      </c>
      <c r="CK301" s="136">
        <v>177505</v>
      </c>
      <c r="CL301" s="136">
        <v>179406</v>
      </c>
      <c r="CM301" s="136">
        <v>164972</v>
      </c>
      <c r="CN301" s="136">
        <v>175526</v>
      </c>
      <c r="CO301" s="136">
        <v>173728</v>
      </c>
    </row>
    <row r="302" spans="63:93" ht="19" customHeight="1" x14ac:dyDescent="0.35">
      <c r="BK302" s="1" t="str">
        <f t="shared" si="49"/>
        <v>CEMIG D|ATIVO|CIRCULANTE|Reembolso subsídios tarifários</v>
      </c>
      <c r="BM302" s="392"/>
      <c r="BO302" s="6" t="s">
        <v>282</v>
      </c>
      <c r="BP302" s="21">
        <v>650721</v>
      </c>
      <c r="BQ302" s="21">
        <v>630311</v>
      </c>
      <c r="BR302" s="21">
        <v>603905</v>
      </c>
      <c r="BS302" s="21">
        <v>605865</v>
      </c>
      <c r="BT302" s="59">
        <v>611292</v>
      </c>
      <c r="BU302" s="59">
        <v>0</v>
      </c>
      <c r="BV302" s="59">
        <v>0</v>
      </c>
      <c r="BW302" s="59">
        <v>0</v>
      </c>
      <c r="BX302" s="59">
        <v>0</v>
      </c>
      <c r="BY302" s="59">
        <v>0</v>
      </c>
      <c r="BZ302" s="59">
        <v>0</v>
      </c>
      <c r="CA302" s="59">
        <v>187180</v>
      </c>
      <c r="CB302" s="59">
        <v>117184</v>
      </c>
      <c r="CC302" s="59">
        <v>90916</v>
      </c>
      <c r="CD302" s="59">
        <v>90923</v>
      </c>
      <c r="CE302" s="59">
        <v>90932</v>
      </c>
      <c r="CF302" s="59">
        <v>90963</v>
      </c>
      <c r="CG302" s="59">
        <v>97703</v>
      </c>
      <c r="CH302" s="59">
        <v>287420</v>
      </c>
      <c r="CI302" s="59">
        <v>81981</v>
      </c>
      <c r="CJ302" s="136">
        <v>81981</v>
      </c>
      <c r="CK302" s="136">
        <v>82616</v>
      </c>
      <c r="CL302" s="136">
        <v>82616</v>
      </c>
      <c r="CM302" s="136">
        <v>82616</v>
      </c>
      <c r="CN302" s="136">
        <v>85543</v>
      </c>
      <c r="CO302" s="136">
        <v>93673</v>
      </c>
    </row>
    <row r="303" spans="63:93" ht="19" customHeight="1" x14ac:dyDescent="0.35">
      <c r="BK303" s="1" t="str">
        <f t="shared" si="49"/>
        <v>CEMIG D|ATIVO|CIRCULANTE|Subvenção baixa renda</v>
      </c>
      <c r="BO303" s="6" t="s">
        <v>319</v>
      </c>
      <c r="BP303" s="21">
        <v>0</v>
      </c>
      <c r="BQ303" s="21">
        <v>0</v>
      </c>
      <c r="BR303" s="21">
        <v>0</v>
      </c>
      <c r="BS303" s="21">
        <v>0</v>
      </c>
      <c r="BT303" s="59">
        <v>0</v>
      </c>
      <c r="BU303" s="59">
        <v>0</v>
      </c>
      <c r="BV303" s="59">
        <v>0</v>
      </c>
      <c r="BW303" s="59">
        <v>0</v>
      </c>
      <c r="BX303" s="59">
        <v>0</v>
      </c>
      <c r="BY303" s="59">
        <v>0</v>
      </c>
      <c r="BZ303" s="59">
        <v>0</v>
      </c>
      <c r="CA303" s="59">
        <v>0</v>
      </c>
      <c r="CB303" s="59">
        <v>64727</v>
      </c>
      <c r="CC303" s="59">
        <v>59245</v>
      </c>
      <c r="CD303" s="59">
        <v>62479</v>
      </c>
      <c r="CE303" s="59">
        <v>52541</v>
      </c>
      <c r="CF303" s="59">
        <v>50269</v>
      </c>
      <c r="CG303" s="59">
        <v>47801</v>
      </c>
      <c r="CH303" s="59">
        <v>46540</v>
      </c>
      <c r="CI303" s="59">
        <v>44979</v>
      </c>
      <c r="CJ303" s="136">
        <v>42730</v>
      </c>
      <c r="CK303" s="136">
        <v>43054</v>
      </c>
      <c r="CL303" s="136">
        <v>43072</v>
      </c>
      <c r="CM303" s="136">
        <v>42228</v>
      </c>
      <c r="CN303" s="136">
        <v>37915</v>
      </c>
      <c r="CO303" s="136">
        <v>29647</v>
      </c>
    </row>
    <row r="304" spans="63:93" ht="19" customHeight="1" x14ac:dyDescent="0.35">
      <c r="BK304" s="1" t="str">
        <f t="shared" si="49"/>
        <v>CEMIG D|ATIVO|CIRCULANTE|Ativos setoriais da concessão</v>
      </c>
      <c r="BM304" s="392"/>
      <c r="BO304" s="6" t="s">
        <v>320</v>
      </c>
      <c r="BP304" s="21">
        <v>1873226</v>
      </c>
      <c r="BQ304" s="21">
        <v>1726062</v>
      </c>
      <c r="BR304" s="21">
        <v>1328786</v>
      </c>
      <c r="BS304" s="21">
        <v>1008352</v>
      </c>
      <c r="BT304" s="59">
        <v>888080</v>
      </c>
      <c r="BU304" s="59">
        <v>995659</v>
      </c>
      <c r="BV304" s="59">
        <v>859597</v>
      </c>
      <c r="BW304" s="59">
        <v>698166</v>
      </c>
      <c r="BX304" s="59">
        <v>484822</v>
      </c>
      <c r="BY304" s="59">
        <v>600389</v>
      </c>
      <c r="BZ304" s="59">
        <v>493934</v>
      </c>
      <c r="CA304" s="59">
        <v>516045</v>
      </c>
      <c r="CB304" s="59">
        <v>458615</v>
      </c>
      <c r="CC304" s="59">
        <v>714258</v>
      </c>
      <c r="CD304" s="59">
        <v>746031</v>
      </c>
      <c r="CE304" s="59">
        <v>958459</v>
      </c>
      <c r="CF304" s="59">
        <v>1315658</v>
      </c>
      <c r="CG304" s="59">
        <v>1048458</v>
      </c>
      <c r="CH304" s="59">
        <v>1221433</v>
      </c>
      <c r="CI304" s="59">
        <v>684546</v>
      </c>
      <c r="CJ304" s="136">
        <v>171832</v>
      </c>
      <c r="CK304" s="136">
        <v>31039</v>
      </c>
      <c r="CL304" s="136">
        <v>0</v>
      </c>
      <c r="CM304" s="136">
        <v>0</v>
      </c>
      <c r="CN304" s="136">
        <v>686442</v>
      </c>
      <c r="CO304" s="136">
        <v>694783</v>
      </c>
    </row>
    <row r="305" spans="63:93" ht="19" customHeight="1" x14ac:dyDescent="0.35">
      <c r="BK305" s="1" t="str">
        <f t="shared" si="49"/>
        <v>CEMIG D|ATIVO|CIRCULANTE|Outros ativos</v>
      </c>
      <c r="BM305" s="390"/>
      <c r="BO305" s="6" t="s">
        <v>283</v>
      </c>
      <c r="BP305" s="21">
        <v>697042</v>
      </c>
      <c r="BQ305" s="21">
        <v>656972</v>
      </c>
      <c r="BR305" s="21">
        <v>706533</v>
      </c>
      <c r="BS305" s="21">
        <v>741386</v>
      </c>
      <c r="BT305" s="59">
        <v>617361</v>
      </c>
      <c r="BU305" s="59">
        <v>715715</v>
      </c>
      <c r="BV305" s="59">
        <v>657465</v>
      </c>
      <c r="BW305" s="59">
        <v>648019</v>
      </c>
      <c r="BX305" s="59">
        <v>557260</v>
      </c>
      <c r="BY305" s="59">
        <v>478176</v>
      </c>
      <c r="BZ305" s="59">
        <v>499241</v>
      </c>
      <c r="CA305" s="59">
        <v>312882</v>
      </c>
      <c r="CB305" s="59">
        <v>280150</v>
      </c>
      <c r="CC305" s="59">
        <v>242029</v>
      </c>
      <c r="CD305" s="59">
        <v>209817</v>
      </c>
      <c r="CE305" s="59">
        <v>292098</v>
      </c>
      <c r="CF305" s="59">
        <v>394286</v>
      </c>
      <c r="CG305" s="59">
        <v>219339</v>
      </c>
      <c r="CH305" s="59">
        <v>161923</v>
      </c>
      <c r="CI305" s="59">
        <v>176767</v>
      </c>
      <c r="CJ305" s="136">
        <v>165886</v>
      </c>
      <c r="CK305" s="136">
        <v>157615</v>
      </c>
      <c r="CL305" s="136">
        <v>135835</v>
      </c>
      <c r="CM305" s="136">
        <v>130511</v>
      </c>
      <c r="CN305" s="136">
        <v>123306</v>
      </c>
      <c r="CO305" s="136">
        <v>104332</v>
      </c>
    </row>
    <row r="306" spans="63:93" ht="23.15" customHeight="1" x14ac:dyDescent="0.35">
      <c r="BK306" s="81" t="str">
        <f>BO306</f>
        <v>NÃO CIRCULANTE</v>
      </c>
      <c r="BL306" s="81"/>
      <c r="BO306" s="4" t="s">
        <v>238</v>
      </c>
      <c r="BP306" s="22">
        <f t="shared" ref="BP306:BQ306" si="50">IFERROR(SUM(BP307,BP319:BP320),0)</f>
        <v>30879092</v>
      </c>
      <c r="BQ306" s="22">
        <f t="shared" si="50"/>
        <v>29703754</v>
      </c>
      <c r="BR306" s="22">
        <f>IFERROR(SUM(BR307,BR319:BR320),0)</f>
        <v>28647903</v>
      </c>
      <c r="BS306" s="22">
        <f t="shared" ref="BS306:CO306" si="51">IFERROR(SUM(BS307,BS319:BS320),0)</f>
        <v>27881451</v>
      </c>
      <c r="BT306" s="22">
        <f t="shared" si="51"/>
        <v>26580012</v>
      </c>
      <c r="BU306" s="22">
        <f t="shared" si="51"/>
        <v>25422697</v>
      </c>
      <c r="BV306" s="22">
        <f t="shared" si="51"/>
        <v>24647109</v>
      </c>
      <c r="BW306" s="22">
        <f t="shared" si="51"/>
        <v>23929357</v>
      </c>
      <c r="BX306" s="22">
        <f t="shared" si="51"/>
        <v>22815265</v>
      </c>
      <c r="BY306" s="22">
        <f t="shared" si="51"/>
        <v>21954172</v>
      </c>
      <c r="BZ306" s="22">
        <f t="shared" si="51"/>
        <v>21396483</v>
      </c>
      <c r="CA306" s="22">
        <f t="shared" si="51"/>
        <v>20781090</v>
      </c>
      <c r="CB306" s="22">
        <f t="shared" si="51"/>
        <v>19858941</v>
      </c>
      <c r="CC306" s="22">
        <f t="shared" si="51"/>
        <v>19156147</v>
      </c>
      <c r="CD306" s="22">
        <f t="shared" si="51"/>
        <v>18421756</v>
      </c>
      <c r="CE306" s="22">
        <f t="shared" si="51"/>
        <v>17769655</v>
      </c>
      <c r="CF306" s="22">
        <f t="shared" si="51"/>
        <v>16944023</v>
      </c>
      <c r="CG306" s="22">
        <f t="shared" si="51"/>
        <v>16275708</v>
      </c>
      <c r="CH306" s="22">
        <f t="shared" si="51"/>
        <v>16836650</v>
      </c>
      <c r="CI306" s="22">
        <f t="shared" si="51"/>
        <v>17515878</v>
      </c>
      <c r="CJ306" s="22">
        <f t="shared" si="51"/>
        <v>16840641</v>
      </c>
      <c r="CK306" s="22">
        <f t="shared" si="51"/>
        <v>16889031</v>
      </c>
      <c r="CL306" s="22">
        <f t="shared" si="51"/>
        <v>17048254</v>
      </c>
      <c r="CM306" s="22">
        <f t="shared" si="51"/>
        <v>16632179</v>
      </c>
      <c r="CN306" s="22">
        <f t="shared" si="51"/>
        <v>16873779</v>
      </c>
      <c r="CO306" s="22">
        <f t="shared" si="51"/>
        <v>18190628</v>
      </c>
    </row>
    <row r="307" spans="63:93" ht="20.149999999999999" customHeight="1" x14ac:dyDescent="0.35">
      <c r="BK307" s="81" t="str">
        <f>BO307</f>
        <v>Realizável a longo prazo</v>
      </c>
      <c r="BL307" s="81"/>
      <c r="BO307" s="7" t="s">
        <v>239</v>
      </c>
      <c r="BP307" s="23">
        <f t="shared" ref="BP307:BQ307" si="52">IFERROR(SUM(BP308:BP318),0)</f>
        <v>14476250</v>
      </c>
      <c r="BQ307" s="23">
        <f t="shared" si="52"/>
        <v>13880043</v>
      </c>
      <c r="BR307" s="23">
        <f>IFERROR(SUM(BR308:BR318),0)</f>
        <v>13025435</v>
      </c>
      <c r="BS307" s="23">
        <f t="shared" ref="BS307:CO307" si="53">IFERROR(SUM(BS308:BS318),0)</f>
        <v>12665438</v>
      </c>
      <c r="BT307" s="23">
        <f t="shared" si="53"/>
        <v>11978938</v>
      </c>
      <c r="BU307" s="23">
        <f t="shared" si="53"/>
        <v>11052629</v>
      </c>
      <c r="BV307" s="23">
        <f t="shared" si="53"/>
        <v>10600095</v>
      </c>
      <c r="BW307" s="23">
        <f t="shared" si="53"/>
        <v>10522096</v>
      </c>
      <c r="BX307" s="23">
        <f t="shared" si="53"/>
        <v>9824467</v>
      </c>
      <c r="BY307" s="23">
        <f t="shared" si="53"/>
        <v>9271252</v>
      </c>
      <c r="BZ307" s="23">
        <f t="shared" si="53"/>
        <v>9037446</v>
      </c>
      <c r="CA307" s="23">
        <f t="shared" si="53"/>
        <v>8815792</v>
      </c>
      <c r="CB307" s="23">
        <f t="shared" si="53"/>
        <v>8176704</v>
      </c>
      <c r="CC307" s="23">
        <f t="shared" si="53"/>
        <v>7489114</v>
      </c>
      <c r="CD307" s="23">
        <f t="shared" si="53"/>
        <v>6866660</v>
      </c>
      <c r="CE307" s="23">
        <f t="shared" si="53"/>
        <v>7437655</v>
      </c>
      <c r="CF307" s="23">
        <f t="shared" si="53"/>
        <v>6992723</v>
      </c>
      <c r="CG307" s="23">
        <f t="shared" si="53"/>
        <v>6545206</v>
      </c>
      <c r="CH307" s="23">
        <f t="shared" si="53"/>
        <v>7210203</v>
      </c>
      <c r="CI307" s="23">
        <f t="shared" si="53"/>
        <v>7938393</v>
      </c>
      <c r="CJ307" s="23">
        <f t="shared" si="53"/>
        <v>7445731</v>
      </c>
      <c r="CK307" s="23">
        <f t="shared" si="53"/>
        <v>7530210</v>
      </c>
      <c r="CL307" s="23">
        <f t="shared" si="53"/>
        <v>7674641</v>
      </c>
      <c r="CM307" s="23">
        <f t="shared" si="53"/>
        <v>7265668</v>
      </c>
      <c r="CN307" s="23">
        <f t="shared" si="53"/>
        <v>7569061</v>
      </c>
      <c r="CO307" s="23">
        <f t="shared" si="53"/>
        <v>8932359</v>
      </c>
    </row>
    <row r="308" spans="63:93" ht="19" customHeight="1" x14ac:dyDescent="0.35">
      <c r="BK308" s="1" t="str">
        <f>_xlfn.CONCAT($BO$289,"|",$BO$291,"|",$BO$306,"|",BO308)</f>
        <v>CEMIG D|ATIVO|NÃO CIRCULANTE|Títulos e valores mobiliários</v>
      </c>
      <c r="BO308" s="6" t="s">
        <v>272</v>
      </c>
      <c r="BP308" s="21">
        <v>0</v>
      </c>
      <c r="BQ308" s="21">
        <v>0</v>
      </c>
      <c r="BR308" s="21">
        <v>0</v>
      </c>
      <c r="BS308" s="21">
        <v>0</v>
      </c>
      <c r="BT308" s="136">
        <v>23917</v>
      </c>
      <c r="BU308" s="136">
        <v>23334</v>
      </c>
      <c r="BV308" s="136">
        <v>44576</v>
      </c>
      <c r="BW308" s="136">
        <v>55929</v>
      </c>
      <c r="BX308" s="136">
        <v>5914</v>
      </c>
      <c r="BY308" s="136">
        <v>6383</v>
      </c>
      <c r="BZ308" s="136">
        <v>0</v>
      </c>
      <c r="CA308" s="136">
        <v>0</v>
      </c>
      <c r="CB308" s="136">
        <v>1067</v>
      </c>
      <c r="CC308" s="136">
        <v>0</v>
      </c>
      <c r="CD308" s="136">
        <v>1052</v>
      </c>
      <c r="CE308" s="136">
        <v>3233</v>
      </c>
      <c r="CF308" s="136">
        <v>7562</v>
      </c>
      <c r="CG308" s="136">
        <v>296</v>
      </c>
      <c r="CH308" s="136">
        <v>69125</v>
      </c>
      <c r="CI308" s="136">
        <v>269520</v>
      </c>
      <c r="CJ308" s="136">
        <v>290701</v>
      </c>
      <c r="CK308" s="136">
        <v>332010</v>
      </c>
      <c r="CL308" s="136">
        <v>472371</v>
      </c>
      <c r="CM308" s="136">
        <v>239366</v>
      </c>
      <c r="CN308" s="136">
        <v>105372</v>
      </c>
      <c r="CO308" s="136">
        <v>68801</v>
      </c>
    </row>
    <row r="309" spans="63:93" ht="19" customHeight="1" x14ac:dyDescent="0.35">
      <c r="BK309" s="1" t="str">
        <f t="shared" ref="BK309:BK318" si="54">_xlfn.CONCAT($BO$289,"|",$BO$291,"|",$BO$306,"|",BO309)</f>
        <v>CEMIG D|ATIVO|NÃO CIRCULANTE|Imposto de renda e contribuição social diferidos</v>
      </c>
      <c r="BM309" s="390"/>
      <c r="BO309" s="6" t="s">
        <v>16</v>
      </c>
      <c r="BP309" s="21">
        <v>565759</v>
      </c>
      <c r="BQ309" s="21">
        <v>673012</v>
      </c>
      <c r="BR309" s="21">
        <v>693230</v>
      </c>
      <c r="BS309" s="21">
        <v>1179096</v>
      </c>
      <c r="BT309" s="136">
        <v>1174167</v>
      </c>
      <c r="BU309" s="136">
        <v>1206923</v>
      </c>
      <c r="BV309" s="136">
        <v>1223647</v>
      </c>
      <c r="BW309" s="136">
        <v>1513130</v>
      </c>
      <c r="BX309" s="136">
        <v>1565985</v>
      </c>
      <c r="BY309" s="136">
        <v>1860060</v>
      </c>
      <c r="BZ309" s="136">
        <v>1884164</v>
      </c>
      <c r="CA309" s="136">
        <v>1966570</v>
      </c>
      <c r="CB309" s="136">
        <v>1998584</v>
      </c>
      <c r="CC309" s="136">
        <v>2139002</v>
      </c>
      <c r="CD309" s="136">
        <v>2119494</v>
      </c>
      <c r="CE309" s="136">
        <v>2215225</v>
      </c>
      <c r="CF309" s="136">
        <v>2208825</v>
      </c>
      <c r="CG309" s="136">
        <v>1684419</v>
      </c>
      <c r="CH309" s="136">
        <v>1656651</v>
      </c>
      <c r="CI309" s="136">
        <v>1798121</v>
      </c>
      <c r="CJ309" s="136">
        <v>1767518</v>
      </c>
      <c r="CK309" s="136">
        <v>1764264</v>
      </c>
      <c r="CL309" s="136">
        <v>1747020</v>
      </c>
      <c r="CM309" s="136">
        <v>1704358</v>
      </c>
      <c r="CN309" s="136">
        <v>1784819</v>
      </c>
      <c r="CO309" s="136">
        <v>1757873</v>
      </c>
    </row>
    <row r="310" spans="63:93" ht="19" customHeight="1" x14ac:dyDescent="0.35">
      <c r="BK310" s="1" t="str">
        <f t="shared" si="54"/>
        <v>CEMIG D|ATIVO|NÃO CIRCULANTE|Tributos a recuperar</v>
      </c>
      <c r="BM310" s="392"/>
      <c r="BO310" s="6" t="s">
        <v>276</v>
      </c>
      <c r="BP310" s="21">
        <v>925793</v>
      </c>
      <c r="BQ310" s="21">
        <v>916056</v>
      </c>
      <c r="BR310" s="21">
        <v>886637</v>
      </c>
      <c r="BS310" s="21">
        <v>851437</v>
      </c>
      <c r="BT310" s="136">
        <v>844243</v>
      </c>
      <c r="BU310" s="136">
        <v>818447</v>
      </c>
      <c r="BV310" s="136">
        <v>802989</v>
      </c>
      <c r="BW310" s="136">
        <v>771585</v>
      </c>
      <c r="BX310" s="136">
        <v>723329</v>
      </c>
      <c r="BY310" s="136">
        <v>699100</v>
      </c>
      <c r="BZ310" s="136">
        <v>698446</v>
      </c>
      <c r="CA310" s="136">
        <v>662916</v>
      </c>
      <c r="CB310" s="136">
        <v>626843</v>
      </c>
      <c r="CC310" s="136">
        <v>624597</v>
      </c>
      <c r="CD310" s="136">
        <v>540281</v>
      </c>
      <c r="CE310" s="136">
        <v>863924</v>
      </c>
      <c r="CF310" s="136">
        <v>934329</v>
      </c>
      <c r="CG310" s="136">
        <v>925040</v>
      </c>
      <c r="CH310" s="136">
        <v>1197692</v>
      </c>
      <c r="CI310" s="136">
        <v>1626682</v>
      </c>
      <c r="CJ310" s="136">
        <v>1930080</v>
      </c>
      <c r="CK310" s="136">
        <v>2533743</v>
      </c>
      <c r="CL310" s="136">
        <v>2888626</v>
      </c>
      <c r="CM310" s="136">
        <v>3140722</v>
      </c>
      <c r="CN310" s="136">
        <v>3463795</v>
      </c>
      <c r="CO310" s="136">
        <v>5178572</v>
      </c>
    </row>
    <row r="311" spans="63:93" ht="19" customHeight="1" x14ac:dyDescent="0.35">
      <c r="BK311" s="1" t="str">
        <f t="shared" si="54"/>
        <v>CEMIG D|ATIVO|NÃO CIRCULANTE|Imposto de renda e contribuição social a recuperar</v>
      </c>
      <c r="BM311" s="392"/>
      <c r="BO311" s="6" t="s">
        <v>277</v>
      </c>
      <c r="BP311" s="21">
        <v>48565</v>
      </c>
      <c r="BQ311" s="21">
        <v>47944</v>
      </c>
      <c r="BR311" s="21">
        <v>47321</v>
      </c>
      <c r="BS311" s="21">
        <v>47287</v>
      </c>
      <c r="BT311" s="136">
        <v>46622</v>
      </c>
      <c r="BU311" s="136">
        <v>125484</v>
      </c>
      <c r="BV311" s="136">
        <v>190579</v>
      </c>
      <c r="BW311" s="136">
        <v>180731</v>
      </c>
      <c r="BX311" s="136">
        <v>179676</v>
      </c>
      <c r="BY311" s="136">
        <v>36150</v>
      </c>
      <c r="BZ311" s="136">
        <v>113122</v>
      </c>
      <c r="CA311" s="136">
        <v>112778</v>
      </c>
      <c r="CB311" s="136">
        <v>83409</v>
      </c>
      <c r="CC311" s="136">
        <v>78718</v>
      </c>
      <c r="CD311" s="136">
        <v>76278</v>
      </c>
      <c r="CE311" s="136">
        <v>74280</v>
      </c>
      <c r="CF311" s="136">
        <v>72211</v>
      </c>
      <c r="CG311" s="136">
        <v>70419</v>
      </c>
      <c r="CH311" s="136">
        <v>68967</v>
      </c>
      <c r="CI311" s="136">
        <v>67990</v>
      </c>
      <c r="CJ311" s="136">
        <v>67283</v>
      </c>
      <c r="CK311" s="136">
        <v>66847</v>
      </c>
      <c r="CL311" s="136">
        <v>66667</v>
      </c>
      <c r="CM311" s="136">
        <v>0</v>
      </c>
      <c r="CN311" s="136">
        <v>0</v>
      </c>
      <c r="CO311" s="136">
        <v>0</v>
      </c>
    </row>
    <row r="312" spans="63:93" ht="19" customHeight="1" x14ac:dyDescent="0.35">
      <c r="BK312" s="1" t="str">
        <f t="shared" si="54"/>
        <v>CEMIG D|ATIVO|NÃO CIRCULANTE|Depósitos vinculados a litígios</v>
      </c>
      <c r="BM312" s="392"/>
      <c r="BO312" s="6" t="s">
        <v>287</v>
      </c>
      <c r="BP312" s="21">
        <v>623539</v>
      </c>
      <c r="BQ312" s="21">
        <v>692443</v>
      </c>
      <c r="BR312" s="21">
        <v>724697</v>
      </c>
      <c r="BS312" s="21">
        <v>705974</v>
      </c>
      <c r="BT312" s="136">
        <v>689887</v>
      </c>
      <c r="BU312" s="136">
        <v>685114</v>
      </c>
      <c r="BV312" s="136">
        <v>680175</v>
      </c>
      <c r="BW312" s="136">
        <v>672300</v>
      </c>
      <c r="BX312" s="136">
        <v>668712</v>
      </c>
      <c r="BY312" s="136">
        <v>673459</v>
      </c>
      <c r="BZ312" s="136">
        <v>662233</v>
      </c>
      <c r="CA312" s="136">
        <v>662445</v>
      </c>
      <c r="CB312" s="136">
        <v>653081</v>
      </c>
      <c r="CC312" s="136">
        <v>647628</v>
      </c>
      <c r="CD312" s="136">
        <v>651279</v>
      </c>
      <c r="CE312" s="136">
        <v>645720</v>
      </c>
      <c r="CF312" s="136">
        <v>633898</v>
      </c>
      <c r="CG312" s="136">
        <v>618225</v>
      </c>
      <c r="CH312" s="136">
        <v>619772</v>
      </c>
      <c r="CI312" s="136">
        <v>614506</v>
      </c>
      <c r="CJ312" s="136">
        <v>578075</v>
      </c>
      <c r="CK312" s="136">
        <v>575435</v>
      </c>
      <c r="CL312" s="136">
        <v>527628</v>
      </c>
      <c r="CM312" s="136">
        <v>555355</v>
      </c>
      <c r="CN312" s="136">
        <v>567607</v>
      </c>
      <c r="CO312" s="136">
        <v>562419</v>
      </c>
    </row>
    <row r="313" spans="63:93" ht="19" customHeight="1" x14ac:dyDescent="0.35">
      <c r="BK313" s="1" t="str">
        <f t="shared" si="54"/>
        <v>CEMIG D|ATIVO|NÃO CIRCULANTE|Consumidores e revendedores</v>
      </c>
      <c r="BO313" s="6" t="s">
        <v>316</v>
      </c>
      <c r="BP313" s="21">
        <v>0</v>
      </c>
      <c r="BQ313" s="21">
        <v>0</v>
      </c>
      <c r="BR313" s="21">
        <v>0</v>
      </c>
      <c r="BS313" s="21">
        <v>0</v>
      </c>
      <c r="BT313" s="136"/>
      <c r="BU313" s="136">
        <v>0</v>
      </c>
      <c r="BV313" s="136">
        <v>0</v>
      </c>
      <c r="BW313" s="136">
        <v>0</v>
      </c>
      <c r="BX313" s="136">
        <v>0</v>
      </c>
      <c r="BY313" s="136">
        <v>0</v>
      </c>
      <c r="BZ313" s="136">
        <v>0</v>
      </c>
      <c r="CA313" s="136">
        <v>0</v>
      </c>
      <c r="CB313" s="136">
        <v>0</v>
      </c>
      <c r="CC313" s="136">
        <v>0</v>
      </c>
      <c r="CD313" s="136">
        <v>0</v>
      </c>
      <c r="CE313" s="136">
        <v>0</v>
      </c>
      <c r="CF313" s="136">
        <v>0</v>
      </c>
      <c r="CG313" s="136">
        <v>0</v>
      </c>
      <c r="CH313" s="136">
        <v>0</v>
      </c>
      <c r="CI313" s="136">
        <v>31763</v>
      </c>
      <c r="CJ313" s="136">
        <v>63504</v>
      </c>
      <c r="CK313" s="136">
        <v>95257</v>
      </c>
      <c r="CL313" s="136">
        <v>120041</v>
      </c>
      <c r="CM313" s="136">
        <v>120041</v>
      </c>
      <c r="CN313" s="136">
        <v>711</v>
      </c>
      <c r="CO313" s="136">
        <v>711</v>
      </c>
    </row>
    <row r="314" spans="63:93" ht="19" customHeight="1" x14ac:dyDescent="0.35">
      <c r="BK314" s="1" t="str">
        <f t="shared" si="54"/>
        <v>CEMIG D|ATIVO|NÃO CIRCULANTE|Concessionários - transporte de energia</v>
      </c>
      <c r="BM314" s="392"/>
      <c r="BO314" s="6" t="s">
        <v>317</v>
      </c>
      <c r="BP314" s="21">
        <v>37299</v>
      </c>
      <c r="BQ314" s="21">
        <v>37718</v>
      </c>
      <c r="BR314" s="21">
        <v>37467</v>
      </c>
      <c r="BS314" s="21">
        <v>38023</v>
      </c>
      <c r="BT314" s="136">
        <v>38054</v>
      </c>
      <c r="BU314" s="136">
        <v>38642</v>
      </c>
      <c r="BV314" s="136">
        <v>38881</v>
      </c>
      <c r="BW314" s="136">
        <v>36764</v>
      </c>
      <c r="BX314" s="136">
        <v>37802</v>
      </c>
      <c r="BY314" s="136">
        <v>38617</v>
      </c>
      <c r="BZ314" s="136">
        <v>38817</v>
      </c>
      <c r="CA314" s="136">
        <v>40203</v>
      </c>
      <c r="CB314" s="136">
        <v>40907</v>
      </c>
      <c r="CC314" s="136">
        <v>41811</v>
      </c>
      <c r="CD314" s="136">
        <v>43386</v>
      </c>
      <c r="CE314" s="136">
        <v>44981</v>
      </c>
      <c r="CF314" s="136">
        <v>46624</v>
      </c>
      <c r="CG314" s="136">
        <v>48130</v>
      </c>
      <c r="CH314" s="136">
        <v>48148</v>
      </c>
      <c r="CI314" s="136">
        <v>34334</v>
      </c>
      <c r="CJ314" s="136">
        <v>34366</v>
      </c>
      <c r="CK314" s="136">
        <v>34029</v>
      </c>
      <c r="CL314" s="136">
        <v>34085</v>
      </c>
      <c r="CM314" s="136">
        <v>34166</v>
      </c>
      <c r="CN314" s="136">
        <v>70398</v>
      </c>
      <c r="CO314" s="136">
        <v>70317</v>
      </c>
    </row>
    <row r="315" spans="63:93" ht="19" customHeight="1" x14ac:dyDescent="0.35">
      <c r="BK315" s="1" t="str">
        <f t="shared" si="54"/>
        <v>CEMIG D|ATIVO|NÃO CIRCULANTE|Outros ativos</v>
      </c>
      <c r="BM315" s="390"/>
      <c r="BO315" s="6" t="s">
        <v>283</v>
      </c>
      <c r="BP315" s="21">
        <v>58676</v>
      </c>
      <c r="BQ315" s="21">
        <v>105258</v>
      </c>
      <c r="BR315" s="21">
        <v>161549</v>
      </c>
      <c r="BS315" s="21">
        <v>147918</v>
      </c>
      <c r="BT315" s="136">
        <v>58509</v>
      </c>
      <c r="BU315" s="136">
        <v>46596</v>
      </c>
      <c r="BV315" s="136">
        <v>47013</v>
      </c>
      <c r="BW315" s="136">
        <v>46024</v>
      </c>
      <c r="BX315" s="136">
        <v>38327</v>
      </c>
      <c r="BY315" s="136">
        <v>16883</v>
      </c>
      <c r="BZ315" s="136">
        <v>16648</v>
      </c>
      <c r="CA315" s="136">
        <v>16715</v>
      </c>
      <c r="CB315" s="136">
        <v>16686</v>
      </c>
      <c r="CC315" s="136">
        <v>16752</v>
      </c>
      <c r="CD315" s="136">
        <v>17327</v>
      </c>
      <c r="CE315" s="136">
        <v>12894</v>
      </c>
      <c r="CF315" s="136">
        <v>13101</v>
      </c>
      <c r="CG315" s="136">
        <v>18789</v>
      </c>
      <c r="CH315" s="136">
        <v>13352</v>
      </c>
      <c r="CI315" s="136">
        <v>13301</v>
      </c>
      <c r="CJ315" s="136">
        <v>13424</v>
      </c>
      <c r="CK315" s="136">
        <v>13763</v>
      </c>
      <c r="CL315" s="136">
        <v>13865</v>
      </c>
      <c r="CM315" s="136">
        <v>12802</v>
      </c>
      <c r="CN315" s="136">
        <v>35480</v>
      </c>
      <c r="CO315" s="136">
        <v>36874</v>
      </c>
    </row>
    <row r="316" spans="63:93" ht="19" customHeight="1" x14ac:dyDescent="0.35">
      <c r="BK316" s="1" t="str">
        <f t="shared" si="54"/>
        <v>CEMIG D|ATIVO|NÃO CIRCULANTE|Ativos setoriais da concessão</v>
      </c>
      <c r="BM316" s="392"/>
      <c r="BO316" s="6" t="s">
        <v>320</v>
      </c>
      <c r="BP316" s="21">
        <v>763877</v>
      </c>
      <c r="BQ316" s="21">
        <v>650880</v>
      </c>
      <c r="BR316" s="21">
        <v>633083</v>
      </c>
      <c r="BS316" s="21">
        <v>720886</v>
      </c>
      <c r="BT316" s="136">
        <v>688265</v>
      </c>
      <c r="BU316" s="136">
        <v>447267</v>
      </c>
      <c r="BV316" s="136">
        <v>436030</v>
      </c>
      <c r="BW316" s="136">
        <v>522267</v>
      </c>
      <c r="BX316" s="136">
        <v>372985</v>
      </c>
      <c r="BY316" s="136">
        <v>282649</v>
      </c>
      <c r="BZ316" s="136">
        <v>311637</v>
      </c>
      <c r="CA316" s="136">
        <v>444028</v>
      </c>
      <c r="CB316" s="136">
        <v>432194</v>
      </c>
      <c r="CC316" s="136">
        <v>277283</v>
      </c>
      <c r="CD316" s="136">
        <v>198059</v>
      </c>
      <c r="CE316" s="136">
        <v>0</v>
      </c>
      <c r="CF316" s="136">
        <v>0</v>
      </c>
      <c r="CG316" s="136">
        <v>401089</v>
      </c>
      <c r="CH316" s="136">
        <v>926115</v>
      </c>
      <c r="CI316" s="136">
        <v>1237380</v>
      </c>
      <c r="CJ316" s="136">
        <v>652792</v>
      </c>
      <c r="CK316" s="136">
        <v>554724</v>
      </c>
      <c r="CL316" s="136">
        <v>132681</v>
      </c>
      <c r="CM316" s="136">
        <v>0</v>
      </c>
      <c r="CN316" s="136">
        <v>239741</v>
      </c>
      <c r="CO316" s="136">
        <v>81101</v>
      </c>
    </row>
    <row r="317" spans="63:93" ht="19" customHeight="1" x14ac:dyDescent="0.35">
      <c r="BK317" s="1" t="str">
        <f t="shared" si="54"/>
        <v>CEMIG D|ATIVO|NÃO CIRCULANTE|Ativos financeiros relacionados à infraestrutura</v>
      </c>
      <c r="BM317" s="392"/>
      <c r="BO317" s="6" t="s">
        <v>321</v>
      </c>
      <c r="BP317" s="21">
        <v>4499235</v>
      </c>
      <c r="BQ317" s="21">
        <v>4018154</v>
      </c>
      <c r="BR317" s="21">
        <v>3826328</v>
      </c>
      <c r="BS317" s="21">
        <v>3436644</v>
      </c>
      <c r="BT317" s="136">
        <v>3095447</v>
      </c>
      <c r="BU317" s="136">
        <v>2933622</v>
      </c>
      <c r="BV317" s="136">
        <v>2714876</v>
      </c>
      <c r="BW317" s="136">
        <v>2362728</v>
      </c>
      <c r="BX317" s="136">
        <v>2174203</v>
      </c>
      <c r="BY317" s="136">
        <v>2032893</v>
      </c>
      <c r="BZ317" s="136">
        <v>1881509</v>
      </c>
      <c r="CA317" s="136">
        <v>1678646</v>
      </c>
      <c r="CB317" s="136">
        <v>1538165</v>
      </c>
      <c r="CC317" s="136">
        <v>1437515</v>
      </c>
      <c r="CD317" s="136">
        <v>1369652</v>
      </c>
      <c r="CE317" s="136">
        <v>1059552</v>
      </c>
      <c r="CF317" s="136">
        <v>948513</v>
      </c>
      <c r="CG317" s="136">
        <v>779037</v>
      </c>
      <c r="CH317" s="136">
        <v>683729</v>
      </c>
      <c r="CI317" s="136">
        <v>644510</v>
      </c>
      <c r="CJ317" s="136">
        <v>582654</v>
      </c>
      <c r="CK317" s="136">
        <v>266712</v>
      </c>
      <c r="CL317" s="136">
        <v>530058</v>
      </c>
      <c r="CM317" s="136">
        <v>497166</v>
      </c>
      <c r="CN317" s="136">
        <v>481371</v>
      </c>
      <c r="CO317" s="136">
        <v>471675</v>
      </c>
    </row>
    <row r="318" spans="63:93" ht="19" customHeight="1" x14ac:dyDescent="0.35">
      <c r="BK318" s="1" t="str">
        <f t="shared" si="54"/>
        <v>CEMIG D|ATIVO|NÃO CIRCULANTE|Ativos de contrato</v>
      </c>
      <c r="BM318" s="392"/>
      <c r="BO318" s="6" t="s">
        <v>275</v>
      </c>
      <c r="BP318" s="21">
        <v>6953507</v>
      </c>
      <c r="BQ318" s="21">
        <v>6738578</v>
      </c>
      <c r="BR318" s="21">
        <v>6015123</v>
      </c>
      <c r="BS318" s="21">
        <v>5538173</v>
      </c>
      <c r="BT318" s="136">
        <v>5319827</v>
      </c>
      <c r="BU318" s="136">
        <v>4727200</v>
      </c>
      <c r="BV318" s="136">
        <v>4421329</v>
      </c>
      <c r="BW318" s="136">
        <v>4360638</v>
      </c>
      <c r="BX318" s="136">
        <v>4057534</v>
      </c>
      <c r="BY318" s="136">
        <v>3625058</v>
      </c>
      <c r="BZ318" s="136">
        <v>3430870</v>
      </c>
      <c r="CA318" s="136">
        <v>3231491</v>
      </c>
      <c r="CB318" s="136">
        <v>2785768</v>
      </c>
      <c r="CC318" s="136">
        <v>2225808</v>
      </c>
      <c r="CD318" s="136">
        <v>1849852</v>
      </c>
      <c r="CE318" s="136">
        <v>2517846</v>
      </c>
      <c r="CF318" s="136">
        <v>2127660</v>
      </c>
      <c r="CG318" s="136">
        <v>1999762</v>
      </c>
      <c r="CH318" s="136">
        <v>1926652</v>
      </c>
      <c r="CI318" s="136">
        <v>1600286</v>
      </c>
      <c r="CJ318" s="136">
        <v>1465334</v>
      </c>
      <c r="CK318" s="136">
        <v>1293426</v>
      </c>
      <c r="CL318" s="136">
        <v>1141599</v>
      </c>
      <c r="CM318" s="136">
        <v>961692</v>
      </c>
      <c r="CN318" s="136">
        <v>819767</v>
      </c>
      <c r="CO318" s="136">
        <v>704016</v>
      </c>
    </row>
    <row r="319" spans="63:93" ht="20.149999999999999" customHeight="1" x14ac:dyDescent="0.35">
      <c r="BK319" s="1" t="str">
        <f>_xlfn.CONCAT($BO$289,"|",$BO$291,"|",BO319)</f>
        <v>CEMIG D|ATIVO|Intangível</v>
      </c>
      <c r="BM319" s="392"/>
      <c r="BO319" s="7" t="s">
        <v>292</v>
      </c>
      <c r="BP319" s="23">
        <v>16185545</v>
      </c>
      <c r="BQ319" s="23">
        <v>15601784</v>
      </c>
      <c r="BR319" s="23">
        <v>15387703</v>
      </c>
      <c r="BS319" s="23">
        <v>14972155</v>
      </c>
      <c r="BT319" s="137">
        <v>14355751</v>
      </c>
      <c r="BU319" s="137">
        <v>14135990</v>
      </c>
      <c r="BV319" s="137">
        <v>13803949</v>
      </c>
      <c r="BW319" s="137">
        <v>13160312</v>
      </c>
      <c r="BX319" s="137">
        <v>12732995</v>
      </c>
      <c r="BY319" s="137">
        <v>12432335</v>
      </c>
      <c r="BZ319" s="137">
        <v>12099390</v>
      </c>
      <c r="CA319" s="137">
        <v>11702354</v>
      </c>
      <c r="CB319" s="137">
        <v>11409347</v>
      </c>
      <c r="CC319" s="137">
        <v>11383926</v>
      </c>
      <c r="CD319" s="137">
        <v>11314918</v>
      </c>
      <c r="CE319" s="137">
        <v>10169806</v>
      </c>
      <c r="CF319" s="137">
        <v>9800404</v>
      </c>
      <c r="CG319" s="137">
        <v>9566016</v>
      </c>
      <c r="CH319" s="137">
        <v>9449638</v>
      </c>
      <c r="CI319" s="137">
        <v>9390879</v>
      </c>
      <c r="CJ319" s="137">
        <v>9249744</v>
      </c>
      <c r="CK319" s="137">
        <v>9199942</v>
      </c>
      <c r="CL319" s="137">
        <v>9207269</v>
      </c>
      <c r="CM319" s="137">
        <v>9188318</v>
      </c>
      <c r="CN319" s="137">
        <v>9117300</v>
      </c>
      <c r="CO319" s="137">
        <v>9058360</v>
      </c>
    </row>
    <row r="320" spans="63:93" ht="20.149999999999999" customHeight="1" x14ac:dyDescent="0.35">
      <c r="BK320" s="1" t="str">
        <f>_xlfn.CONCAT($BO$289,"|",$BO$291,"|",BO320)</f>
        <v>CEMIG D|ATIVO|Direito de uso</v>
      </c>
      <c r="BM320" s="392"/>
      <c r="BO320" s="8" t="s">
        <v>293</v>
      </c>
      <c r="BP320" s="23">
        <v>217297</v>
      </c>
      <c r="BQ320" s="23">
        <v>221927</v>
      </c>
      <c r="BR320" s="23">
        <v>234765</v>
      </c>
      <c r="BS320" s="23">
        <v>243858</v>
      </c>
      <c r="BT320" s="137">
        <v>245323</v>
      </c>
      <c r="BU320" s="137">
        <v>234078</v>
      </c>
      <c r="BV320" s="137">
        <v>243065</v>
      </c>
      <c r="BW320" s="137">
        <v>246949</v>
      </c>
      <c r="BX320" s="137">
        <v>257803</v>
      </c>
      <c r="BY320" s="137">
        <v>250585</v>
      </c>
      <c r="BZ320" s="137">
        <v>259647</v>
      </c>
      <c r="CA320" s="137">
        <v>262944</v>
      </c>
      <c r="CB320" s="137">
        <v>272890</v>
      </c>
      <c r="CC320" s="137">
        <v>283107</v>
      </c>
      <c r="CD320" s="137">
        <v>240178</v>
      </c>
      <c r="CE320" s="137">
        <v>162194</v>
      </c>
      <c r="CF320" s="137">
        <v>150896</v>
      </c>
      <c r="CG320" s="137">
        <v>164486</v>
      </c>
      <c r="CH320" s="137">
        <v>176809</v>
      </c>
      <c r="CI320" s="137">
        <v>186606</v>
      </c>
      <c r="CJ320" s="137">
        <v>145166</v>
      </c>
      <c r="CK320" s="137">
        <v>158879</v>
      </c>
      <c r="CL320" s="137">
        <v>166344</v>
      </c>
      <c r="CM320" s="137">
        <v>178193</v>
      </c>
      <c r="CN320" s="137">
        <v>187418</v>
      </c>
      <c r="CO320" s="137">
        <v>199909</v>
      </c>
    </row>
    <row r="321" spans="63:93" ht="28" customHeight="1" x14ac:dyDescent="0.35">
      <c r="BO321" s="39" t="s">
        <v>241</v>
      </c>
      <c r="BP321" s="80">
        <f t="shared" ref="BP321:BQ321" si="55">IFERROR(SUM(BP306,BP292),0)</f>
        <v>40934691</v>
      </c>
      <c r="BQ321" s="80">
        <f t="shared" si="55"/>
        <v>39464493</v>
      </c>
      <c r="BR321" s="80">
        <f>IFERROR(SUM(BR306,BR292),0)</f>
        <v>38255250</v>
      </c>
      <c r="BS321" s="80">
        <f t="shared" ref="BS321:CO321" si="56">SUM(BS306,BS292)</f>
        <v>36211583</v>
      </c>
      <c r="BT321" s="80">
        <f t="shared" si="56"/>
        <v>35609774</v>
      </c>
      <c r="BU321" s="80">
        <f t="shared" si="56"/>
        <v>35080018</v>
      </c>
      <c r="BV321" s="80">
        <f t="shared" si="56"/>
        <v>32453115</v>
      </c>
      <c r="BW321" s="80">
        <f t="shared" si="56"/>
        <v>32634622</v>
      </c>
      <c r="BX321" s="80">
        <f t="shared" si="56"/>
        <v>29198828</v>
      </c>
      <c r="BY321" s="80">
        <f t="shared" si="56"/>
        <v>29268746</v>
      </c>
      <c r="BZ321" s="80">
        <f t="shared" si="56"/>
        <v>27582566</v>
      </c>
      <c r="CA321" s="80">
        <f t="shared" si="56"/>
        <v>27564326</v>
      </c>
      <c r="CB321" s="80">
        <f t="shared" si="56"/>
        <v>27024660</v>
      </c>
      <c r="CC321" s="80">
        <f t="shared" si="56"/>
        <v>25779174</v>
      </c>
      <c r="CD321" s="80">
        <f t="shared" si="56"/>
        <v>25412645</v>
      </c>
      <c r="CE321" s="80">
        <f t="shared" si="56"/>
        <v>25415085</v>
      </c>
      <c r="CF321" s="80">
        <f t="shared" si="56"/>
        <v>25198127</v>
      </c>
      <c r="CG321" s="80">
        <f t="shared" si="56"/>
        <v>23701745</v>
      </c>
      <c r="CH321" s="80">
        <f t="shared" si="56"/>
        <v>24597628</v>
      </c>
      <c r="CI321" s="80">
        <f t="shared" si="56"/>
        <v>25410657</v>
      </c>
      <c r="CJ321" s="80">
        <f t="shared" si="56"/>
        <v>24430779</v>
      </c>
      <c r="CK321" s="80">
        <f t="shared" si="56"/>
        <v>24164105</v>
      </c>
      <c r="CL321" s="80">
        <f t="shared" si="56"/>
        <v>25141023</v>
      </c>
      <c r="CM321" s="80">
        <f t="shared" si="56"/>
        <v>25152715</v>
      </c>
      <c r="CN321" s="80">
        <f t="shared" si="56"/>
        <v>24694367</v>
      </c>
      <c r="CO321" s="80">
        <f t="shared" si="56"/>
        <v>23869775</v>
      </c>
    </row>
    <row r="323" spans="63:93" ht="35.15" customHeight="1" x14ac:dyDescent="0.35">
      <c r="BK323" s="81" t="str">
        <f>BO323</f>
        <v>PASSIVO</v>
      </c>
      <c r="BL323" s="81"/>
      <c r="BO323" s="169" t="s">
        <v>236</v>
      </c>
      <c r="BP323" s="166" t="str">
        <f t="shared" ref="BP323:BQ323" si="57">BP291</f>
        <v>jun | 2026</v>
      </c>
      <c r="BQ323" s="166" t="str">
        <f t="shared" si="57"/>
        <v>mar | 2026</v>
      </c>
      <c r="BR323" s="166" t="str">
        <f>BR291</f>
        <v>dez | 2025</v>
      </c>
      <c r="BS323" s="166" t="str">
        <f t="shared" ref="BS323:CN323" si="58">BS291</f>
        <v>set | 2025</v>
      </c>
      <c r="BT323" s="166" t="str">
        <f t="shared" si="58"/>
        <v>jun | 2025</v>
      </c>
      <c r="BU323" s="166" t="str">
        <f t="shared" si="58"/>
        <v>mar | 2025</v>
      </c>
      <c r="BV323" s="166" t="str">
        <f t="shared" si="58"/>
        <v>dez | 2024</v>
      </c>
      <c r="BW323" s="166" t="str">
        <f t="shared" si="58"/>
        <v>set | 2024</v>
      </c>
      <c r="BX323" s="166" t="str">
        <f t="shared" si="58"/>
        <v>jun | 2024</v>
      </c>
      <c r="BY323" s="166" t="str">
        <f t="shared" si="58"/>
        <v>mar | 2024</v>
      </c>
      <c r="BZ323" s="166" t="str">
        <f t="shared" si="58"/>
        <v>dez | 2023</v>
      </c>
      <c r="CA323" s="166" t="str">
        <f t="shared" si="58"/>
        <v>set | 2023</v>
      </c>
      <c r="CB323" s="166" t="str">
        <f t="shared" si="58"/>
        <v>jun | 2023</v>
      </c>
      <c r="CC323" s="166" t="str">
        <f t="shared" si="58"/>
        <v>mar | 2023</v>
      </c>
      <c r="CD323" s="166" t="str">
        <f t="shared" si="58"/>
        <v>dez | 2022</v>
      </c>
      <c r="CE323" s="166" t="str">
        <f t="shared" si="58"/>
        <v>set | 2022</v>
      </c>
      <c r="CF323" s="166" t="str">
        <f t="shared" si="58"/>
        <v>jun | 2022</v>
      </c>
      <c r="CG323" s="166" t="str">
        <f t="shared" si="58"/>
        <v>mar | 2022</v>
      </c>
      <c r="CH323" s="166" t="str">
        <f t="shared" si="58"/>
        <v>dez | 2021</v>
      </c>
      <c r="CI323" s="166" t="str">
        <f t="shared" si="58"/>
        <v>set | 2021</v>
      </c>
      <c r="CJ323" s="166" t="str">
        <f t="shared" si="58"/>
        <v>jun | 2021</v>
      </c>
      <c r="CK323" s="166" t="str">
        <f t="shared" si="58"/>
        <v>mar | 2021</v>
      </c>
      <c r="CL323" s="166" t="str">
        <f t="shared" si="58"/>
        <v>dez | 2020</v>
      </c>
      <c r="CM323" s="166" t="str">
        <f>CM291</f>
        <v>set | 2020</v>
      </c>
      <c r="CN323" s="166" t="str">
        <f t="shared" si="58"/>
        <v>jun | 2020</v>
      </c>
      <c r="CO323" s="166" t="str">
        <f>CO291</f>
        <v>mar | 2020</v>
      </c>
    </row>
    <row r="324" spans="63:93" ht="23.15" customHeight="1" x14ac:dyDescent="0.35">
      <c r="BK324" s="81" t="str">
        <f>BO324</f>
        <v>CIRCULANTE</v>
      </c>
      <c r="BL324" s="81"/>
      <c r="BO324" s="17" t="s">
        <v>237</v>
      </c>
      <c r="BP324" s="24">
        <f t="shared" ref="BP324:BQ324" si="59">IFERROR(SUM(BP325:BP344),0)</f>
        <v>10235190</v>
      </c>
      <c r="BQ324" s="24">
        <f t="shared" si="59"/>
        <v>11145917</v>
      </c>
      <c r="BR324" s="24">
        <f>IFERROR(SUM(BR325:BR344),0)</f>
        <v>9949392</v>
      </c>
      <c r="BS324" s="24">
        <f>IFERROR(SUM(BS325:BS344),0)</f>
        <v>9770121</v>
      </c>
      <c r="BT324" s="24">
        <f t="shared" ref="BT324:CO324" si="60">IFERROR(SUM(BT325:BT344),0)</f>
        <v>9230185</v>
      </c>
      <c r="BU324" s="24">
        <f t="shared" si="60"/>
        <v>9397013</v>
      </c>
      <c r="BV324" s="24">
        <f t="shared" si="60"/>
        <v>9432019</v>
      </c>
      <c r="BW324" s="24">
        <f t="shared" si="60"/>
        <v>10116054</v>
      </c>
      <c r="BX324" s="24">
        <f t="shared" si="60"/>
        <v>9275399</v>
      </c>
      <c r="BY324" s="24">
        <f t="shared" si="60"/>
        <v>7458705</v>
      </c>
      <c r="BZ324" s="24">
        <f t="shared" si="60"/>
        <v>7759767</v>
      </c>
      <c r="CA324" s="24">
        <f t="shared" si="60"/>
        <v>7155538</v>
      </c>
      <c r="CB324" s="24">
        <f t="shared" si="60"/>
        <v>7059080</v>
      </c>
      <c r="CC324" s="24">
        <f t="shared" si="60"/>
        <v>7017678</v>
      </c>
      <c r="CD324" s="24">
        <f t="shared" si="60"/>
        <v>7119515</v>
      </c>
      <c r="CE324" s="24">
        <f t="shared" si="60"/>
        <v>7778949</v>
      </c>
      <c r="CF324" s="24">
        <f t="shared" si="60"/>
        <v>7998885</v>
      </c>
      <c r="CG324" s="24">
        <f t="shared" si="60"/>
        <v>5891234</v>
      </c>
      <c r="CH324" s="24">
        <f t="shared" si="60"/>
        <v>6659893</v>
      </c>
      <c r="CI324" s="24">
        <f t="shared" si="60"/>
        <v>7050972</v>
      </c>
      <c r="CJ324" s="24">
        <f t="shared" si="60"/>
        <v>6358738</v>
      </c>
      <c r="CK324" s="24">
        <f t="shared" si="60"/>
        <v>5301286</v>
      </c>
      <c r="CL324" s="24">
        <f t="shared" si="60"/>
        <v>5563184</v>
      </c>
      <c r="CM324" s="24">
        <f t="shared" si="60"/>
        <v>5598399</v>
      </c>
      <c r="CN324" s="24">
        <f t="shared" si="60"/>
        <v>5401583</v>
      </c>
      <c r="CO324" s="24">
        <f t="shared" si="60"/>
        <v>4616317</v>
      </c>
    </row>
    <row r="325" spans="63:93" ht="19" customHeight="1" x14ac:dyDescent="0.35">
      <c r="BK325" s="1" t="str">
        <f>_xlfn.CONCAT($BO$289,"|",$BO$323,"|",$BO$324,"|",BO325)</f>
        <v>CEMIG D|PASSIVO|CIRCULANTE|Debêntures</v>
      </c>
      <c r="BM325" s="392"/>
      <c r="BO325" s="6" t="s">
        <v>298</v>
      </c>
      <c r="BP325" s="25">
        <v>845285</v>
      </c>
      <c r="BQ325" s="25">
        <v>2409806</v>
      </c>
      <c r="BR325" s="25">
        <v>2395885</v>
      </c>
      <c r="BS325" s="25">
        <v>2342070</v>
      </c>
      <c r="BT325" s="33">
        <v>2337791</v>
      </c>
      <c r="BU325" s="33">
        <v>2228174</v>
      </c>
      <c r="BV325" s="33">
        <v>2496199</v>
      </c>
      <c r="BW325" s="33">
        <v>2488339</v>
      </c>
      <c r="BX325" s="33">
        <v>2385439</v>
      </c>
      <c r="BY325" s="33">
        <v>595102</v>
      </c>
      <c r="BZ325" s="33">
        <v>639713</v>
      </c>
      <c r="CA325" s="33">
        <v>876764</v>
      </c>
      <c r="CB325" s="33">
        <v>881326</v>
      </c>
      <c r="CC325" s="33">
        <v>898907</v>
      </c>
      <c r="CD325" s="33">
        <v>883795</v>
      </c>
      <c r="CE325" s="33">
        <v>911644</v>
      </c>
      <c r="CF325" s="33">
        <v>856258</v>
      </c>
      <c r="CG325" s="33">
        <v>856461</v>
      </c>
      <c r="CH325" s="33">
        <v>875254</v>
      </c>
      <c r="CI325" s="33">
        <v>865986</v>
      </c>
      <c r="CJ325" s="33">
        <v>826806</v>
      </c>
      <c r="CK325" s="33">
        <v>828677</v>
      </c>
      <c r="CL325" s="33">
        <v>1181014</v>
      </c>
      <c r="CM325" s="33">
        <v>1165219</v>
      </c>
      <c r="CN325" s="33">
        <v>1122908</v>
      </c>
      <c r="CO325" s="33">
        <v>997154</v>
      </c>
    </row>
    <row r="326" spans="63:93" ht="19" customHeight="1" x14ac:dyDescent="0.35">
      <c r="BK326" s="1" t="str">
        <f t="shared" ref="BK326:BK344" si="61">_xlfn.CONCAT($BO$289,"|",$BO$323,"|",$BO$324,"|",BO326)</f>
        <v>CEMIG D|PASSIVO|CIRCULANTE|Fornecedores</v>
      </c>
      <c r="BM326" s="392"/>
      <c r="BO326" s="6" t="s">
        <v>294</v>
      </c>
      <c r="BP326" s="25">
        <v>2109518</v>
      </c>
      <c r="BQ326" s="25">
        <v>2088638</v>
      </c>
      <c r="BR326" s="25">
        <v>1999948</v>
      </c>
      <c r="BS326" s="25">
        <v>2169074</v>
      </c>
      <c r="BT326" s="33">
        <v>2002860</v>
      </c>
      <c r="BU326" s="33">
        <v>1848154</v>
      </c>
      <c r="BV326" s="33">
        <v>1973750</v>
      </c>
      <c r="BW326" s="33">
        <v>2211900</v>
      </c>
      <c r="BX326" s="33">
        <v>1946809</v>
      </c>
      <c r="BY326" s="33">
        <v>1868797</v>
      </c>
      <c r="BZ326" s="33">
        <v>2024449</v>
      </c>
      <c r="CA326" s="33">
        <v>1873634</v>
      </c>
      <c r="CB326" s="33">
        <v>1697417</v>
      </c>
      <c r="CC326" s="33">
        <v>1656588</v>
      </c>
      <c r="CD326" s="33">
        <v>1929723</v>
      </c>
      <c r="CE326" s="33">
        <v>1811209</v>
      </c>
      <c r="CF326" s="33">
        <v>1578718</v>
      </c>
      <c r="CG326" s="33">
        <v>1578913</v>
      </c>
      <c r="CH326" s="33">
        <v>2019994</v>
      </c>
      <c r="CI326" s="33">
        <v>2478062</v>
      </c>
      <c r="CJ326" s="33">
        <v>1768948</v>
      </c>
      <c r="CK326" s="33">
        <v>1430181</v>
      </c>
      <c r="CL326" s="33">
        <v>1783607</v>
      </c>
      <c r="CM326" s="33">
        <v>1480758</v>
      </c>
      <c r="CN326" s="33">
        <v>1401163</v>
      </c>
      <c r="CO326" s="33">
        <v>1298051</v>
      </c>
    </row>
    <row r="327" spans="63:93" ht="19" customHeight="1" x14ac:dyDescent="0.35">
      <c r="BK327" s="1" t="str">
        <f t="shared" si="61"/>
        <v>CEMIG D|PASSIVO|CIRCULANTE|Impostos, taxas e contribuições</v>
      </c>
      <c r="BM327" s="392"/>
      <c r="BO327" s="6" t="s">
        <v>296</v>
      </c>
      <c r="BP327" s="25">
        <v>373850</v>
      </c>
      <c r="BQ327" s="25">
        <v>392977</v>
      </c>
      <c r="BR327" s="25">
        <v>379738</v>
      </c>
      <c r="BS327" s="25">
        <v>371829</v>
      </c>
      <c r="BT327" s="33">
        <v>384777</v>
      </c>
      <c r="BU327" s="33">
        <v>330534</v>
      </c>
      <c r="BV327" s="33">
        <v>360012</v>
      </c>
      <c r="BW327" s="33">
        <v>276798</v>
      </c>
      <c r="BX327" s="33">
        <v>272997</v>
      </c>
      <c r="BY327" s="33">
        <v>274936</v>
      </c>
      <c r="BZ327" s="33">
        <v>268455</v>
      </c>
      <c r="CA327" s="33">
        <v>243975</v>
      </c>
      <c r="CB327" s="33">
        <v>245235</v>
      </c>
      <c r="CC327" s="33">
        <v>267778</v>
      </c>
      <c r="CD327" s="33">
        <v>197890</v>
      </c>
      <c r="CE327" s="33">
        <v>193708</v>
      </c>
      <c r="CF327" s="33">
        <v>202035</v>
      </c>
      <c r="CG327" s="33">
        <v>263710</v>
      </c>
      <c r="CH327" s="33">
        <v>226823</v>
      </c>
      <c r="CI327" s="33">
        <v>338866</v>
      </c>
      <c r="CJ327" s="33">
        <v>251862</v>
      </c>
      <c r="CK327" s="33">
        <v>299504</v>
      </c>
      <c r="CL327" s="33">
        <v>234490</v>
      </c>
      <c r="CM327" s="33">
        <v>329089</v>
      </c>
      <c r="CN327" s="33">
        <v>461802</v>
      </c>
      <c r="CO327" s="33">
        <v>227306</v>
      </c>
    </row>
    <row r="328" spans="63:93" ht="19" customHeight="1" x14ac:dyDescent="0.35">
      <c r="BK328" s="1" t="str">
        <f t="shared" si="61"/>
        <v>CEMIG D|PASSIVO|CIRCULANTE|Imposto de renda e contribuição social</v>
      </c>
      <c r="BM328" s="392"/>
      <c r="BO328" s="6" t="s">
        <v>15</v>
      </c>
      <c r="BP328" s="25">
        <v>8035</v>
      </c>
      <c r="BQ328" s="25">
        <v>6781</v>
      </c>
      <c r="BR328" s="25">
        <v>0</v>
      </c>
      <c r="BS328" s="25">
        <v>0</v>
      </c>
      <c r="BT328" s="33">
        <v>0</v>
      </c>
      <c r="BU328" s="33">
        <v>0</v>
      </c>
      <c r="BV328" s="33">
        <v>71701</v>
      </c>
      <c r="BW328" s="33">
        <v>37254</v>
      </c>
      <c r="BX328" s="33">
        <v>69808</v>
      </c>
      <c r="BY328" s="33">
        <v>0</v>
      </c>
      <c r="BZ328" s="33">
        <v>80888</v>
      </c>
      <c r="CA328" s="33">
        <v>1556</v>
      </c>
      <c r="CB328" s="33">
        <v>0</v>
      </c>
      <c r="CC328" s="33">
        <v>120567</v>
      </c>
      <c r="CD328" s="33">
        <v>88043</v>
      </c>
      <c r="CE328" s="33">
        <v>0</v>
      </c>
      <c r="CF328" s="33">
        <v>0</v>
      </c>
      <c r="CG328" s="33">
        <v>0</v>
      </c>
      <c r="CH328" s="33">
        <v>0</v>
      </c>
      <c r="CI328" s="33">
        <v>32460</v>
      </c>
      <c r="CJ328" s="33">
        <v>0</v>
      </c>
      <c r="CK328" s="33">
        <v>0</v>
      </c>
      <c r="CL328" s="33">
        <v>0</v>
      </c>
      <c r="CM328" s="33">
        <v>0</v>
      </c>
      <c r="CN328" s="33">
        <v>0</v>
      </c>
      <c r="CO328" s="33">
        <v>0</v>
      </c>
    </row>
    <row r="329" spans="63:93" ht="19" customHeight="1" x14ac:dyDescent="0.35">
      <c r="BK329" s="1" t="str">
        <f t="shared" si="61"/>
        <v>CEMIG D|PASSIVO|CIRCULANTE|Salários e encargos sociais</v>
      </c>
      <c r="BM329" s="392"/>
      <c r="BO329" s="6" t="s">
        <v>322</v>
      </c>
      <c r="BP329" s="25">
        <v>176131</v>
      </c>
      <c r="BQ329" s="25">
        <v>130884</v>
      </c>
      <c r="BR329" s="25">
        <v>146059</v>
      </c>
      <c r="BS329" s="25">
        <v>171261</v>
      </c>
      <c r="BT329" s="33">
        <v>170002</v>
      </c>
      <c r="BU329" s="33">
        <v>136240</v>
      </c>
      <c r="BV329" s="33">
        <v>139537</v>
      </c>
      <c r="BW329" s="33">
        <v>203695</v>
      </c>
      <c r="BX329" s="33">
        <v>228943</v>
      </c>
      <c r="BY329" s="33">
        <v>151802</v>
      </c>
      <c r="BZ329" s="33">
        <v>153285</v>
      </c>
      <c r="CA329" s="33">
        <v>159147</v>
      </c>
      <c r="CB329" s="33">
        <v>149019</v>
      </c>
      <c r="CC329" s="33">
        <v>144612</v>
      </c>
      <c r="CD329" s="33">
        <v>162661</v>
      </c>
      <c r="CE329" s="33">
        <v>169372</v>
      </c>
      <c r="CF329" s="33">
        <v>171696</v>
      </c>
      <c r="CG329" s="33">
        <v>131604</v>
      </c>
      <c r="CH329" s="33">
        <v>141428</v>
      </c>
      <c r="CI329" s="33">
        <v>148022</v>
      </c>
      <c r="CJ329" s="33">
        <v>160890</v>
      </c>
      <c r="CK329" s="33">
        <v>124011</v>
      </c>
      <c r="CL329" s="33">
        <v>138444</v>
      </c>
      <c r="CM329" s="33">
        <v>158522</v>
      </c>
      <c r="CN329" s="33">
        <v>160233</v>
      </c>
      <c r="CO329" s="33">
        <v>121395</v>
      </c>
    </row>
    <row r="330" spans="63:93" ht="19" customHeight="1" x14ac:dyDescent="0.35">
      <c r="BK330" s="1" t="str">
        <f t="shared" si="61"/>
        <v>CEMIG D|PASSIVO|CIRCULANTE|Encargos regulatórios</v>
      </c>
      <c r="BM330" s="392"/>
      <c r="BO330" s="6" t="s">
        <v>295</v>
      </c>
      <c r="BP330" s="25">
        <v>300441</v>
      </c>
      <c r="BQ330" s="25">
        <v>341026</v>
      </c>
      <c r="BR330" s="25">
        <v>338712</v>
      </c>
      <c r="BS330" s="25">
        <v>386769</v>
      </c>
      <c r="BT330" s="33">
        <v>379750</v>
      </c>
      <c r="BU330" s="33">
        <v>309418</v>
      </c>
      <c r="BV330" s="33">
        <v>245500</v>
      </c>
      <c r="BW330" s="33">
        <v>244495</v>
      </c>
      <c r="BX330" s="33">
        <v>279469</v>
      </c>
      <c r="BY330" s="33">
        <v>342749</v>
      </c>
      <c r="BZ330" s="33">
        <v>373039</v>
      </c>
      <c r="CA330" s="33">
        <v>417526</v>
      </c>
      <c r="CB330" s="33">
        <v>429179</v>
      </c>
      <c r="CC330" s="33">
        <v>421920</v>
      </c>
      <c r="CD330" s="33">
        <v>393389</v>
      </c>
      <c r="CE330" s="33">
        <v>414200</v>
      </c>
      <c r="CF330" s="33">
        <v>403543</v>
      </c>
      <c r="CG330" s="33">
        <v>387752</v>
      </c>
      <c r="CH330" s="33">
        <v>499178</v>
      </c>
      <c r="CI330" s="33">
        <v>514376</v>
      </c>
      <c r="CJ330" s="33">
        <v>416937</v>
      </c>
      <c r="CK330" s="33">
        <v>366826</v>
      </c>
      <c r="CL330" s="33">
        <v>267696</v>
      </c>
      <c r="CM330" s="33">
        <v>214621</v>
      </c>
      <c r="CN330" s="33">
        <v>207825</v>
      </c>
      <c r="CO330" s="33">
        <v>273145</v>
      </c>
    </row>
    <row r="331" spans="63:93" ht="19" customHeight="1" x14ac:dyDescent="0.35">
      <c r="BK331" s="1" t="str">
        <f t="shared" si="61"/>
        <v>CEMIG D|PASSIVO|CIRCULANTE|Participação dos colaboradores e administradores no resultado</v>
      </c>
      <c r="BM331" s="392"/>
      <c r="BO331" s="6" t="s">
        <v>323</v>
      </c>
      <c r="BP331" s="25">
        <v>53230</v>
      </c>
      <c r="BQ331" s="25">
        <v>100178</v>
      </c>
      <c r="BR331" s="25">
        <v>74663</v>
      </c>
      <c r="BS331" s="25">
        <v>74187</v>
      </c>
      <c r="BT331" s="33">
        <v>55654</v>
      </c>
      <c r="BU331" s="33">
        <v>84567</v>
      </c>
      <c r="BV331" s="33">
        <v>58697</v>
      </c>
      <c r="BW331" s="33">
        <v>73672</v>
      </c>
      <c r="BX331" s="33">
        <v>50411</v>
      </c>
      <c r="BY331" s="33">
        <v>120007</v>
      </c>
      <c r="BZ331" s="33">
        <v>95134</v>
      </c>
      <c r="CA331" s="33">
        <v>71257</v>
      </c>
      <c r="CB331" s="33">
        <v>47808</v>
      </c>
      <c r="CC331" s="33">
        <v>76887</v>
      </c>
      <c r="CD331" s="33">
        <v>52273</v>
      </c>
      <c r="CE331" s="33">
        <v>77051</v>
      </c>
      <c r="CF331" s="33">
        <v>68234</v>
      </c>
      <c r="CG331" s="33">
        <v>111115</v>
      </c>
      <c r="CH331" s="33">
        <v>87116</v>
      </c>
      <c r="CI331" s="33">
        <v>69716</v>
      </c>
      <c r="CJ331" s="33">
        <v>40533</v>
      </c>
      <c r="CK331" s="33">
        <v>89807</v>
      </c>
      <c r="CL331" s="33">
        <v>73691</v>
      </c>
      <c r="CM331" s="33">
        <v>59903</v>
      </c>
      <c r="CN331" s="33">
        <v>134991</v>
      </c>
      <c r="CO331" s="33">
        <v>132196</v>
      </c>
    </row>
    <row r="332" spans="63:93" ht="19" customHeight="1" x14ac:dyDescent="0.35">
      <c r="BK332" s="1" t="str">
        <f t="shared" si="61"/>
        <v>CEMIG D|PASSIVO|CIRCULANTE|Obrigações pós-emprego</v>
      </c>
      <c r="BM332" s="392"/>
      <c r="BO332" s="6" t="s">
        <v>111</v>
      </c>
      <c r="BP332" s="25">
        <v>111954</v>
      </c>
      <c r="BQ332" s="25">
        <v>102862</v>
      </c>
      <c r="BR332" s="25">
        <v>93884</v>
      </c>
      <c r="BS332" s="25">
        <v>144134</v>
      </c>
      <c r="BT332" s="33">
        <v>148273</v>
      </c>
      <c r="BU332" s="33">
        <v>131521</v>
      </c>
      <c r="BV332" s="33">
        <v>162817</v>
      </c>
      <c r="BW332" s="33">
        <v>158200</v>
      </c>
      <c r="BX332" s="33">
        <v>159970</v>
      </c>
      <c r="BY332" s="33">
        <v>198431</v>
      </c>
      <c r="BZ332" s="33">
        <v>231390</v>
      </c>
      <c r="CA332" s="33">
        <v>263256</v>
      </c>
      <c r="CB332" s="33">
        <v>289196</v>
      </c>
      <c r="CC332" s="33">
        <v>282640</v>
      </c>
      <c r="CD332" s="33">
        <v>274904</v>
      </c>
      <c r="CE332" s="33">
        <v>264770</v>
      </c>
      <c r="CF332" s="33">
        <v>258999</v>
      </c>
      <c r="CG332" s="33">
        <v>248639</v>
      </c>
      <c r="CH332" s="33">
        <v>244559</v>
      </c>
      <c r="CI332" s="33">
        <v>234676</v>
      </c>
      <c r="CJ332" s="33">
        <v>228042</v>
      </c>
      <c r="CK332" s="33">
        <v>219686</v>
      </c>
      <c r="CL332" s="33">
        <v>213283</v>
      </c>
      <c r="CM332" s="33">
        <v>207472</v>
      </c>
      <c r="CN332" s="33">
        <v>217996</v>
      </c>
      <c r="CO332" s="33">
        <v>203161</v>
      </c>
    </row>
    <row r="333" spans="63:93" ht="19" customHeight="1" x14ac:dyDescent="0.35">
      <c r="BK333" s="1" t="str">
        <f t="shared" si="61"/>
        <v>CEMIG D|PASSIVO|CIRCULANTE|Contribuição de iluminação pública</v>
      </c>
      <c r="BM333" s="390"/>
      <c r="BO333" s="6" t="s">
        <v>281</v>
      </c>
      <c r="BP333" s="25">
        <v>533030</v>
      </c>
      <c r="BQ333" s="25">
        <v>525086</v>
      </c>
      <c r="BR333" s="25">
        <v>542706</v>
      </c>
      <c r="BS333" s="25">
        <v>539632</v>
      </c>
      <c r="BT333" s="33">
        <v>496942</v>
      </c>
      <c r="BU333" s="33">
        <v>480506</v>
      </c>
      <c r="BV333" s="33">
        <v>475037</v>
      </c>
      <c r="BW333" s="33">
        <v>435597</v>
      </c>
      <c r="BX333" s="33">
        <v>410341</v>
      </c>
      <c r="BY333" s="33">
        <v>419030</v>
      </c>
      <c r="BZ333" s="33">
        <v>424713</v>
      </c>
      <c r="CA333" s="33">
        <v>384611</v>
      </c>
      <c r="CB333" s="33">
        <v>372094</v>
      </c>
      <c r="CC333" s="33">
        <v>330992</v>
      </c>
      <c r="CD333" s="33">
        <v>312475</v>
      </c>
      <c r="CE333" s="33">
        <v>290352</v>
      </c>
      <c r="CF333" s="33">
        <v>291511</v>
      </c>
      <c r="CG333" s="33">
        <v>376412</v>
      </c>
      <c r="CH333" s="33">
        <v>357106</v>
      </c>
      <c r="CI333" s="33">
        <v>334805</v>
      </c>
      <c r="CJ333" s="33">
        <v>282268</v>
      </c>
      <c r="CK333" s="33">
        <v>268843</v>
      </c>
      <c r="CL333" s="33">
        <v>304869</v>
      </c>
      <c r="CM333" s="33">
        <v>233749</v>
      </c>
      <c r="CN333" s="33">
        <v>238296</v>
      </c>
      <c r="CO333" s="33">
        <v>247968</v>
      </c>
    </row>
    <row r="334" spans="63:93" ht="19" customHeight="1" x14ac:dyDescent="0.35">
      <c r="BK334" s="1" t="str">
        <f t="shared" si="61"/>
        <v>CEMIG D|PASSIVO|CIRCULANTE|Mútuo com partes relacionadas</v>
      </c>
      <c r="BM334" s="392"/>
      <c r="BO334" s="6" t="s">
        <v>324</v>
      </c>
      <c r="BP334" s="62">
        <v>528771</v>
      </c>
      <c r="BQ334" s="62">
        <v>0</v>
      </c>
      <c r="BR334" s="62">
        <v>0</v>
      </c>
      <c r="BS334" s="25">
        <v>0</v>
      </c>
      <c r="BT334" s="33">
        <v>0</v>
      </c>
      <c r="BU334" s="33">
        <v>0</v>
      </c>
      <c r="BV334" s="33">
        <v>0</v>
      </c>
      <c r="BW334" s="33">
        <v>0</v>
      </c>
      <c r="BX334" s="33">
        <v>0</v>
      </c>
      <c r="BY334" s="33">
        <v>0</v>
      </c>
      <c r="BZ334" s="33">
        <v>0</v>
      </c>
      <c r="CA334" s="33">
        <v>0</v>
      </c>
      <c r="CB334" s="33">
        <v>0</v>
      </c>
      <c r="CC334" s="33">
        <v>0</v>
      </c>
      <c r="CD334" s="33">
        <v>0</v>
      </c>
      <c r="CE334" s="33">
        <v>0</v>
      </c>
      <c r="CF334" s="33">
        <v>0</v>
      </c>
      <c r="CG334" s="33">
        <v>100791</v>
      </c>
      <c r="CH334" s="33">
        <v>0</v>
      </c>
      <c r="CI334" s="33">
        <v>0</v>
      </c>
      <c r="CJ334" s="33">
        <v>0</v>
      </c>
      <c r="CK334" s="33">
        <v>0</v>
      </c>
      <c r="CL334" s="33">
        <v>0</v>
      </c>
      <c r="CM334" s="33">
        <v>0</v>
      </c>
      <c r="CN334" s="33">
        <v>0</v>
      </c>
      <c r="CO334" s="33">
        <v>0</v>
      </c>
    </row>
    <row r="335" spans="63:93" ht="19" customHeight="1" x14ac:dyDescent="0.35">
      <c r="BK335" s="1" t="str">
        <f t="shared" si="61"/>
        <v>CEMIG D|PASSIVO|CIRCULANTE|Indenização Compensatória</v>
      </c>
      <c r="BM335" s="392"/>
      <c r="BO335" s="6" t="s">
        <v>302</v>
      </c>
      <c r="BP335" s="25">
        <v>150939</v>
      </c>
      <c r="BQ335" s="25">
        <v>150939</v>
      </c>
      <c r="BR335" s="25">
        <v>302627</v>
      </c>
      <c r="BS335" s="25">
        <v>0</v>
      </c>
      <c r="BT335" s="33">
        <v>0</v>
      </c>
      <c r="BU335" s="33">
        <v>0</v>
      </c>
      <c r="BV335" s="33">
        <v>0</v>
      </c>
      <c r="BW335" s="33">
        <v>0</v>
      </c>
      <c r="BX335" s="33">
        <v>0</v>
      </c>
      <c r="BY335" s="33">
        <v>0</v>
      </c>
      <c r="BZ335" s="33">
        <v>0</v>
      </c>
      <c r="CA335" s="33">
        <v>0</v>
      </c>
      <c r="CB335" s="33">
        <v>0</v>
      </c>
      <c r="CC335" s="33">
        <v>0</v>
      </c>
      <c r="CD335" s="33">
        <v>0</v>
      </c>
      <c r="CE335" s="33">
        <v>0</v>
      </c>
      <c r="CF335" s="33">
        <v>0</v>
      </c>
      <c r="CG335" s="33">
        <v>0</v>
      </c>
      <c r="CH335" s="33">
        <v>0</v>
      </c>
      <c r="CI335" s="33">
        <v>0</v>
      </c>
      <c r="CJ335" s="33">
        <v>0</v>
      </c>
      <c r="CK335" s="33">
        <v>0</v>
      </c>
      <c r="CL335" s="33">
        <v>0</v>
      </c>
      <c r="CM335" s="33">
        <v>0</v>
      </c>
      <c r="CN335" s="33">
        <v>0</v>
      </c>
      <c r="CO335" s="33">
        <v>0</v>
      </c>
    </row>
    <row r="336" spans="63:93" ht="19" customHeight="1" x14ac:dyDescent="0.35">
      <c r="BK336" s="1" t="str">
        <f t="shared" si="61"/>
        <v>CEMIG D|PASSIVO|CIRCULANTE|Obrigações relacionadas à energia gerada por consumidores</v>
      </c>
      <c r="BM336" s="392"/>
      <c r="BO336" s="6" t="s">
        <v>325</v>
      </c>
      <c r="BP336" s="25">
        <v>1942669</v>
      </c>
      <c r="BQ336" s="25">
        <v>1868040</v>
      </c>
      <c r="BR336" s="25">
        <v>1825274</v>
      </c>
      <c r="BS336" s="25">
        <v>1739449</v>
      </c>
      <c r="BT336" s="33">
        <v>1640563</v>
      </c>
      <c r="BU336" s="33">
        <v>1434732</v>
      </c>
      <c r="BV336" s="33">
        <v>1251298</v>
      </c>
      <c r="BW336" s="33">
        <v>1145073</v>
      </c>
      <c r="BX336" s="33">
        <v>967329</v>
      </c>
      <c r="BY336" s="33">
        <v>781661</v>
      </c>
      <c r="BZ336" s="33">
        <v>704653</v>
      </c>
      <c r="CA336" s="33">
        <v>608389</v>
      </c>
      <c r="CB336" s="33">
        <v>510559</v>
      </c>
      <c r="CC336" s="33">
        <v>563397</v>
      </c>
      <c r="CD336" s="33">
        <v>455273</v>
      </c>
      <c r="CE336" s="33">
        <v>378920</v>
      </c>
      <c r="CF336" s="33">
        <v>310622</v>
      </c>
      <c r="CG336" s="33">
        <v>0</v>
      </c>
      <c r="CH336" s="33">
        <v>236000</v>
      </c>
      <c r="CI336" s="33">
        <v>0</v>
      </c>
      <c r="CJ336" s="33">
        <v>0</v>
      </c>
      <c r="CK336" s="33">
        <v>0</v>
      </c>
      <c r="CL336" s="33">
        <v>0</v>
      </c>
      <c r="CM336" s="33">
        <v>0</v>
      </c>
      <c r="CN336" s="33">
        <v>0</v>
      </c>
      <c r="CO336" s="33">
        <v>0</v>
      </c>
    </row>
    <row r="337" spans="62:93" ht="19" customHeight="1" x14ac:dyDescent="0.35">
      <c r="BK337" s="1" t="str">
        <f t="shared" si="61"/>
        <v>CEMIG D|PASSIVO|CIRCULANTE|Passivos setoriais da concessão</v>
      </c>
      <c r="BO337" s="6" t="s">
        <v>326</v>
      </c>
      <c r="BP337" s="25">
        <v>0</v>
      </c>
      <c r="BQ337" s="25">
        <v>0</v>
      </c>
      <c r="BR337" s="25">
        <v>0</v>
      </c>
      <c r="BS337" s="25">
        <v>0</v>
      </c>
      <c r="BT337" s="33">
        <v>0</v>
      </c>
      <c r="BU337" s="33">
        <v>19678</v>
      </c>
      <c r="BV337" s="33">
        <v>16470</v>
      </c>
      <c r="BW337" s="33">
        <v>0</v>
      </c>
      <c r="BX337" s="33">
        <v>0</v>
      </c>
      <c r="BY337" s="33">
        <v>0</v>
      </c>
      <c r="BZ337" s="33">
        <v>0</v>
      </c>
      <c r="CA337" s="33">
        <v>0</v>
      </c>
      <c r="CB337" s="33">
        <v>0</v>
      </c>
      <c r="CC337" s="33">
        <v>0</v>
      </c>
      <c r="CD337" s="33">
        <v>0</v>
      </c>
      <c r="CE337" s="33">
        <v>0</v>
      </c>
      <c r="CF337" s="33">
        <v>0</v>
      </c>
      <c r="CG337" s="33">
        <v>1466</v>
      </c>
      <c r="CH337" s="33">
        <v>51359</v>
      </c>
      <c r="CI337" s="33">
        <v>98537</v>
      </c>
      <c r="CJ337" s="33">
        <v>138808</v>
      </c>
      <c r="CK337" s="33">
        <v>59026</v>
      </c>
      <c r="CL337" s="33">
        <v>231322</v>
      </c>
      <c r="CM337" s="33">
        <v>330743</v>
      </c>
      <c r="CN337" s="33">
        <v>0</v>
      </c>
      <c r="CO337" s="33">
        <v>0</v>
      </c>
    </row>
    <row r="338" spans="62:93" ht="19" customHeight="1" x14ac:dyDescent="0.35">
      <c r="BK338" s="1" t="str">
        <f t="shared" si="61"/>
        <v>CEMIG D|PASSIVO|CIRCULANTE|Juros sobre capital próprio e dividendos a pagar</v>
      </c>
      <c r="BM338" s="392"/>
      <c r="BO338" s="6" t="s">
        <v>297</v>
      </c>
      <c r="BP338" s="25">
        <v>1545440</v>
      </c>
      <c r="BQ338" s="25">
        <v>1312400</v>
      </c>
      <c r="BR338" s="25">
        <v>1074587</v>
      </c>
      <c r="BS338" s="25">
        <v>1030587</v>
      </c>
      <c r="BT338" s="33">
        <v>784914</v>
      </c>
      <c r="BU338" s="33">
        <v>1314512</v>
      </c>
      <c r="BV338" s="33">
        <v>1117129</v>
      </c>
      <c r="BW338" s="33">
        <v>1947041</v>
      </c>
      <c r="BX338" s="33">
        <v>1781628</v>
      </c>
      <c r="BY338" s="33">
        <v>1636891</v>
      </c>
      <c r="BZ338" s="33">
        <v>1499524</v>
      </c>
      <c r="CA338" s="33">
        <v>656551</v>
      </c>
      <c r="CB338" s="33">
        <v>508078</v>
      </c>
      <c r="CC338" s="33">
        <v>635824</v>
      </c>
      <c r="CD338" s="33">
        <v>504052</v>
      </c>
      <c r="CE338" s="33">
        <v>1106176</v>
      </c>
      <c r="CF338" s="33">
        <v>986795</v>
      </c>
      <c r="CG338" s="33">
        <v>1027849</v>
      </c>
      <c r="CH338" s="33">
        <v>916961</v>
      </c>
      <c r="CI338" s="33">
        <v>310834</v>
      </c>
      <c r="CJ338" s="33">
        <v>221463</v>
      </c>
      <c r="CK338" s="33">
        <v>383101</v>
      </c>
      <c r="CL338" s="33">
        <v>309434</v>
      </c>
      <c r="CM338" s="33">
        <v>432612</v>
      </c>
      <c r="CN338" s="33">
        <v>352287</v>
      </c>
      <c r="CO338" s="33">
        <v>822183</v>
      </c>
    </row>
    <row r="339" spans="62:93" ht="19" customHeight="1" x14ac:dyDescent="0.35">
      <c r="BK339" s="1" t="str">
        <f t="shared" si="61"/>
        <v>CEMIG D|PASSIVO|CIRCULANTE|Valores a restituir a consumidores</v>
      </c>
      <c r="BM339" s="390"/>
      <c r="BO339" s="6" t="s">
        <v>304</v>
      </c>
      <c r="BP339" s="25">
        <v>340800</v>
      </c>
      <c r="BQ339" s="25">
        <v>354860</v>
      </c>
      <c r="BR339" s="25">
        <v>340800</v>
      </c>
      <c r="BS339" s="25">
        <v>340800</v>
      </c>
      <c r="BT339" s="33">
        <v>371509</v>
      </c>
      <c r="BU339" s="33">
        <v>456887</v>
      </c>
      <c r="BV339" s="33">
        <v>526498</v>
      </c>
      <c r="BW339" s="33">
        <v>515823</v>
      </c>
      <c r="BX339" s="33">
        <v>340800</v>
      </c>
      <c r="BY339" s="33">
        <v>530986</v>
      </c>
      <c r="BZ339" s="33">
        <v>853652</v>
      </c>
      <c r="CA339" s="33">
        <v>1193055</v>
      </c>
      <c r="CB339" s="33">
        <v>1505176</v>
      </c>
      <c r="CC339" s="33">
        <v>799983</v>
      </c>
      <c r="CD339" s="33">
        <v>1495598</v>
      </c>
      <c r="CE339" s="33">
        <v>1873276</v>
      </c>
      <c r="CF339" s="33">
        <v>2579363</v>
      </c>
      <c r="CG339" s="33">
        <v>267307</v>
      </c>
      <c r="CH339" s="33">
        <v>704025</v>
      </c>
      <c r="CI339" s="33">
        <v>1145019</v>
      </c>
      <c r="CJ339" s="33">
        <v>1590108</v>
      </c>
      <c r="CK339" s="33">
        <v>836107</v>
      </c>
      <c r="CL339" s="33">
        <v>448019</v>
      </c>
      <c r="CM339" s="33">
        <v>630993</v>
      </c>
      <c r="CN339" s="33">
        <v>714339</v>
      </c>
      <c r="CO339" s="33">
        <v>0</v>
      </c>
    </row>
    <row r="340" spans="62:93" ht="19" customHeight="1" x14ac:dyDescent="0.35">
      <c r="BK340" s="1" t="str">
        <f t="shared" si="61"/>
        <v>CEMIG D|PASSIVO|CIRCULANTE|Valores a pagar a partes relacionadas</v>
      </c>
      <c r="BO340" s="6" t="s">
        <v>327</v>
      </c>
      <c r="BP340" s="25">
        <v>0</v>
      </c>
      <c r="BQ340" s="25">
        <v>528771</v>
      </c>
      <c r="BR340" s="25">
        <v>0</v>
      </c>
      <c r="BS340" s="25">
        <v>0</v>
      </c>
      <c r="BT340" s="33">
        <v>0</v>
      </c>
      <c r="BU340" s="33">
        <v>0</v>
      </c>
      <c r="BV340" s="33">
        <v>0</v>
      </c>
      <c r="BW340" s="33">
        <v>0</v>
      </c>
      <c r="BX340" s="33">
        <v>0</v>
      </c>
      <c r="BY340" s="33">
        <v>0</v>
      </c>
      <c r="BZ340" s="33">
        <v>0</v>
      </c>
      <c r="CA340" s="33">
        <v>0</v>
      </c>
      <c r="CB340" s="33">
        <v>0</v>
      </c>
      <c r="CC340" s="33">
        <v>352806</v>
      </c>
      <c r="CD340" s="33">
        <v>0</v>
      </c>
      <c r="CE340" s="33">
        <v>0</v>
      </c>
      <c r="CF340" s="33">
        <v>0</v>
      </c>
      <c r="CG340" s="33">
        <v>0</v>
      </c>
      <c r="CH340" s="33">
        <v>0</v>
      </c>
      <c r="CI340" s="33">
        <v>0</v>
      </c>
      <c r="CJ340" s="33">
        <v>0</v>
      </c>
      <c r="CK340" s="33">
        <v>0</v>
      </c>
      <c r="CL340" s="33">
        <v>0</v>
      </c>
      <c r="CM340" s="33">
        <v>0</v>
      </c>
      <c r="CN340" s="33">
        <v>0</v>
      </c>
      <c r="CO340" s="33">
        <v>0</v>
      </c>
    </row>
    <row r="341" spans="62:93" ht="19" customHeight="1" x14ac:dyDescent="0.35">
      <c r="BK341" s="1" t="str">
        <f t="shared" si="61"/>
        <v>CEMIG D|PASSIVO|CIRCULANTE|Arrendamentos - obrigações</v>
      </c>
      <c r="BM341" s="392"/>
      <c r="BO341" s="6" t="s">
        <v>328</v>
      </c>
      <c r="BP341" s="25">
        <v>67771</v>
      </c>
      <c r="BQ341" s="25">
        <v>63876</v>
      </c>
      <c r="BR341" s="25">
        <v>63963</v>
      </c>
      <c r="BS341" s="25">
        <v>63387</v>
      </c>
      <c r="BT341" s="33">
        <v>62095</v>
      </c>
      <c r="BU341" s="33">
        <v>56323</v>
      </c>
      <c r="BV341" s="33">
        <v>55728</v>
      </c>
      <c r="BW341" s="33">
        <v>54111</v>
      </c>
      <c r="BX341" s="33">
        <v>54232</v>
      </c>
      <c r="BY341" s="33">
        <v>50196</v>
      </c>
      <c r="BZ341" s="33">
        <v>56294</v>
      </c>
      <c r="CA341" s="33">
        <v>55633</v>
      </c>
      <c r="CB341" s="33">
        <v>55715</v>
      </c>
      <c r="CC341" s="33">
        <v>55884</v>
      </c>
      <c r="CD341" s="33">
        <v>43602</v>
      </c>
      <c r="CE341" s="33">
        <v>21120</v>
      </c>
      <c r="CF341" s="33">
        <v>30109</v>
      </c>
      <c r="CG341" s="33">
        <v>39807</v>
      </c>
      <c r="CH341" s="33">
        <v>49261</v>
      </c>
      <c r="CI341" s="33">
        <v>57859</v>
      </c>
      <c r="CJ341" s="33">
        <v>27258</v>
      </c>
      <c r="CK341" s="33">
        <v>35565</v>
      </c>
      <c r="CL341" s="33">
        <v>38521</v>
      </c>
      <c r="CM341" s="33">
        <v>55512</v>
      </c>
      <c r="CN341" s="33">
        <v>58814</v>
      </c>
      <c r="CO341" s="33">
        <v>61386</v>
      </c>
    </row>
    <row r="342" spans="62:93" ht="19" customHeight="1" x14ac:dyDescent="0.35">
      <c r="BJ342" s="392"/>
      <c r="BK342" s="1" t="str">
        <f t="shared" si="61"/>
        <v>CEMIG D|PASSIVO|CIRCULANTE|Instrumentos Financeiros Derivativos</v>
      </c>
      <c r="BM342" s="392"/>
      <c r="BO342" s="6" t="s">
        <v>833</v>
      </c>
      <c r="BP342" s="25">
        <v>55212</v>
      </c>
      <c r="BQ342" s="25">
        <v>0</v>
      </c>
      <c r="BR342" s="25">
        <v>0</v>
      </c>
      <c r="BS342" s="25">
        <v>0</v>
      </c>
      <c r="BT342" s="25">
        <v>0</v>
      </c>
      <c r="BU342" s="25">
        <v>0</v>
      </c>
      <c r="BV342" s="25">
        <v>0</v>
      </c>
      <c r="BW342" s="25">
        <v>0</v>
      </c>
      <c r="BX342" s="25">
        <v>0</v>
      </c>
      <c r="BY342" s="25">
        <v>0</v>
      </c>
      <c r="BZ342" s="25">
        <v>0</v>
      </c>
      <c r="CA342" s="25">
        <v>0</v>
      </c>
      <c r="CB342" s="25">
        <v>0</v>
      </c>
      <c r="CC342" s="25">
        <v>0</v>
      </c>
      <c r="CD342" s="25">
        <v>0</v>
      </c>
      <c r="CE342" s="25">
        <v>0</v>
      </c>
      <c r="CF342" s="25">
        <v>0</v>
      </c>
      <c r="CG342" s="25">
        <v>0</v>
      </c>
      <c r="CH342" s="25">
        <v>0</v>
      </c>
      <c r="CI342" s="25">
        <v>0</v>
      </c>
      <c r="CJ342" s="25">
        <v>0</v>
      </c>
      <c r="CK342" s="25">
        <v>0</v>
      </c>
      <c r="CL342" s="25">
        <v>0</v>
      </c>
      <c r="CM342" s="25">
        <v>0</v>
      </c>
      <c r="CN342" s="25">
        <v>0</v>
      </c>
      <c r="CO342" s="25">
        <v>0</v>
      </c>
    </row>
    <row r="343" spans="62:93" ht="19" customHeight="1" x14ac:dyDescent="0.35">
      <c r="BJ343" s="392"/>
      <c r="BK343" s="1" t="str">
        <f t="shared" si="61"/>
        <v>CEMIG D|PASSIVO|CIRCULANTE|Antecipação de CDE</v>
      </c>
      <c r="BM343" s="392"/>
      <c r="BO343" s="6" t="s">
        <v>834</v>
      </c>
      <c r="BP343" s="25">
        <v>709761</v>
      </c>
      <c r="BQ343" s="25">
        <v>0</v>
      </c>
      <c r="BR343" s="25">
        <v>0</v>
      </c>
      <c r="BS343" s="25">
        <v>0</v>
      </c>
      <c r="BT343" s="25">
        <v>0</v>
      </c>
      <c r="BU343" s="25">
        <v>0</v>
      </c>
      <c r="BV343" s="25">
        <v>0</v>
      </c>
      <c r="BW343" s="25">
        <v>0</v>
      </c>
      <c r="BX343" s="25">
        <v>0</v>
      </c>
      <c r="BY343" s="25">
        <v>0</v>
      </c>
      <c r="BZ343" s="25">
        <v>0</v>
      </c>
      <c r="CA343" s="25">
        <v>0</v>
      </c>
      <c r="CB343" s="25">
        <v>0</v>
      </c>
      <c r="CC343" s="25">
        <v>0</v>
      </c>
      <c r="CD343" s="25">
        <v>0</v>
      </c>
      <c r="CE343" s="25">
        <v>0</v>
      </c>
      <c r="CF343" s="25">
        <v>0</v>
      </c>
      <c r="CG343" s="25">
        <v>0</v>
      </c>
      <c r="CH343" s="25">
        <v>0</v>
      </c>
      <c r="CI343" s="25">
        <v>0</v>
      </c>
      <c r="CJ343" s="25">
        <v>0</v>
      </c>
      <c r="CK343" s="25">
        <v>0</v>
      </c>
      <c r="CL343" s="25">
        <v>0</v>
      </c>
      <c r="CM343" s="25">
        <v>0</v>
      </c>
      <c r="CN343" s="25">
        <v>0</v>
      </c>
      <c r="CO343" s="25">
        <v>0</v>
      </c>
    </row>
    <row r="344" spans="62:93" ht="19" customHeight="1" x14ac:dyDescent="0.35">
      <c r="BK344" s="1" t="str">
        <f t="shared" si="61"/>
        <v>CEMIG D|PASSIVO|CIRCULANTE|Outros passivos</v>
      </c>
      <c r="BM344" s="392"/>
      <c r="BO344" s="6" t="s">
        <v>306</v>
      </c>
      <c r="BP344" s="25">
        <v>382353</v>
      </c>
      <c r="BQ344" s="25">
        <v>768793</v>
      </c>
      <c r="BR344" s="25">
        <v>370546</v>
      </c>
      <c r="BS344" s="25">
        <v>396942</v>
      </c>
      <c r="BT344" s="33">
        <v>395055</v>
      </c>
      <c r="BU344" s="33">
        <v>565767</v>
      </c>
      <c r="BV344" s="33">
        <v>481646</v>
      </c>
      <c r="BW344" s="33">
        <v>324056</v>
      </c>
      <c r="BX344" s="33">
        <v>327223</v>
      </c>
      <c r="BY344" s="33">
        <v>488117</v>
      </c>
      <c r="BZ344" s="33">
        <v>354578</v>
      </c>
      <c r="CA344" s="33">
        <v>350184</v>
      </c>
      <c r="CB344" s="33">
        <v>368278</v>
      </c>
      <c r="CC344" s="33">
        <v>408893</v>
      </c>
      <c r="CD344" s="33">
        <v>325837</v>
      </c>
      <c r="CE344" s="33">
        <v>267151</v>
      </c>
      <c r="CF344" s="33">
        <v>261002</v>
      </c>
      <c r="CG344" s="33">
        <v>499408</v>
      </c>
      <c r="CH344" s="33">
        <v>250829</v>
      </c>
      <c r="CI344" s="33">
        <v>421754</v>
      </c>
      <c r="CJ344" s="33">
        <v>404815</v>
      </c>
      <c r="CK344" s="33">
        <v>359952</v>
      </c>
      <c r="CL344" s="33">
        <v>338794</v>
      </c>
      <c r="CM344" s="33">
        <v>299206</v>
      </c>
      <c r="CN344" s="33">
        <v>330929</v>
      </c>
      <c r="CO344" s="33">
        <v>232372</v>
      </c>
    </row>
    <row r="345" spans="62:93" ht="23.15" customHeight="1" x14ac:dyDescent="0.35">
      <c r="BK345" s="81" t="str">
        <f>BO345</f>
        <v>NÃO CIRCULANTE</v>
      </c>
      <c r="BL345" s="81"/>
      <c r="BO345" s="18" t="s">
        <v>238</v>
      </c>
      <c r="BP345" s="26">
        <f t="shared" ref="BP345:CO345" si="62">IFERROR(SUM(BP346:BP355),0)</f>
        <v>17887827</v>
      </c>
      <c r="BQ345" s="26">
        <f t="shared" si="62"/>
        <v>15687266</v>
      </c>
      <c r="BR345" s="26">
        <f t="shared" si="62"/>
        <v>15783943</v>
      </c>
      <c r="BS345" s="26">
        <f t="shared" si="62"/>
        <v>14273319</v>
      </c>
      <c r="BT345" s="26">
        <f t="shared" si="62"/>
        <v>14255496</v>
      </c>
      <c r="BU345" s="26">
        <f t="shared" si="62"/>
        <v>14294814</v>
      </c>
      <c r="BV345" s="26">
        <f t="shared" si="62"/>
        <v>11739843</v>
      </c>
      <c r="BW345" s="26">
        <f t="shared" si="62"/>
        <v>12407337</v>
      </c>
      <c r="BX345" s="26">
        <f t="shared" si="62"/>
        <v>9989317</v>
      </c>
      <c r="BY345" s="26">
        <f t="shared" si="62"/>
        <v>12766087</v>
      </c>
      <c r="BZ345" s="26">
        <f t="shared" si="62"/>
        <v>10939574</v>
      </c>
      <c r="CA345" s="26">
        <f t="shared" si="62"/>
        <v>11646527</v>
      </c>
      <c r="CB345" s="26">
        <f t="shared" si="62"/>
        <v>11504572</v>
      </c>
      <c r="CC345" s="26">
        <f t="shared" si="62"/>
        <v>10868866</v>
      </c>
      <c r="CD345" s="26">
        <f t="shared" si="62"/>
        <v>11187870</v>
      </c>
      <c r="CE345" s="26">
        <f t="shared" si="62"/>
        <v>11134061</v>
      </c>
      <c r="CF345" s="26">
        <f t="shared" si="62"/>
        <v>11063646</v>
      </c>
      <c r="CG345" s="26">
        <f t="shared" si="62"/>
        <v>10622375</v>
      </c>
      <c r="CH345" s="26">
        <f t="shared" si="62"/>
        <v>10995069</v>
      </c>
      <c r="CI345" s="26">
        <f t="shared" si="62"/>
        <v>11485515</v>
      </c>
      <c r="CJ345" s="26">
        <f t="shared" si="62"/>
        <v>11492703</v>
      </c>
      <c r="CK345" s="26">
        <f t="shared" si="62"/>
        <v>12535703</v>
      </c>
      <c r="CL345" s="26">
        <f t="shared" si="62"/>
        <v>13556208</v>
      </c>
      <c r="CM345" s="26">
        <f t="shared" si="62"/>
        <v>13532949</v>
      </c>
      <c r="CN345" s="26">
        <f t="shared" si="62"/>
        <v>13635290</v>
      </c>
      <c r="CO345" s="26">
        <f t="shared" si="62"/>
        <v>14348661</v>
      </c>
    </row>
    <row r="346" spans="62:93" ht="19" customHeight="1" x14ac:dyDescent="0.35">
      <c r="BK346" s="1" t="str">
        <f t="shared" ref="BK346:BK355" si="63">_xlfn.CONCAT($BO$289,"|",$BO$323,"|",$BO$345,"|",BO346)</f>
        <v>CEMIG D|PASSIVO|NÃO CIRCULANTE|Debêntures</v>
      </c>
      <c r="BM346" s="392"/>
      <c r="BO346" s="6" t="s">
        <v>298</v>
      </c>
      <c r="BP346" s="25">
        <v>14820186</v>
      </c>
      <c r="BQ346" s="25">
        <v>12573119</v>
      </c>
      <c r="BR346" s="25">
        <v>12496203</v>
      </c>
      <c r="BS346" s="25">
        <v>10035950</v>
      </c>
      <c r="BT346" s="33">
        <v>9995250</v>
      </c>
      <c r="BU346" s="33">
        <v>10099033</v>
      </c>
      <c r="BV346" s="33">
        <v>7541422</v>
      </c>
      <c r="BW346" s="33">
        <v>7463335</v>
      </c>
      <c r="BX346" s="33">
        <v>4995632</v>
      </c>
      <c r="BY346" s="33">
        <v>6936646</v>
      </c>
      <c r="BZ346" s="33">
        <v>5247909</v>
      </c>
      <c r="CA346" s="33">
        <v>5222404</v>
      </c>
      <c r="CB346" s="33">
        <v>5198274</v>
      </c>
      <c r="CC346" s="33">
        <v>3325340</v>
      </c>
      <c r="CD346" s="33">
        <v>3692203</v>
      </c>
      <c r="CE346" s="33">
        <v>3795880</v>
      </c>
      <c r="CF346" s="33">
        <v>3939029</v>
      </c>
      <c r="CG346" s="33">
        <v>3016414</v>
      </c>
      <c r="CH346" s="33">
        <v>3371907</v>
      </c>
      <c r="CI346" s="33">
        <v>3420114</v>
      </c>
      <c r="CJ346" s="33">
        <v>3495740</v>
      </c>
      <c r="CK346" s="33">
        <v>3592483</v>
      </c>
      <c r="CL346" s="33">
        <v>3916226</v>
      </c>
      <c r="CM346" s="33">
        <v>3982839</v>
      </c>
      <c r="CN346" s="33">
        <v>4087879</v>
      </c>
      <c r="CO346" s="33">
        <v>4256054</v>
      </c>
    </row>
    <row r="347" spans="62:93" ht="19" customHeight="1" x14ac:dyDescent="0.35">
      <c r="BK347" s="1" t="str">
        <f t="shared" si="63"/>
        <v>CEMIG D|PASSIVO|NÃO CIRCULANTE|Provisões</v>
      </c>
      <c r="BM347" s="392"/>
      <c r="BO347" s="6" t="s">
        <v>308</v>
      </c>
      <c r="BP347" s="25">
        <v>1292987</v>
      </c>
      <c r="BQ347" s="25">
        <v>1328643</v>
      </c>
      <c r="BR347" s="25">
        <v>1348991</v>
      </c>
      <c r="BS347" s="25">
        <v>1173831</v>
      </c>
      <c r="BT347" s="33">
        <v>1142832</v>
      </c>
      <c r="BU347" s="33">
        <v>1122749</v>
      </c>
      <c r="BV347" s="33">
        <v>1064553</v>
      </c>
      <c r="BW347" s="33">
        <v>1038680</v>
      </c>
      <c r="BX347" s="33">
        <v>1023307</v>
      </c>
      <c r="BY347" s="33">
        <v>1533167</v>
      </c>
      <c r="BZ347" s="33">
        <v>1480183</v>
      </c>
      <c r="CA347" s="33">
        <v>1450241</v>
      </c>
      <c r="CB347" s="33">
        <v>1405726</v>
      </c>
      <c r="CC347" s="33">
        <v>1367211</v>
      </c>
      <c r="CD347" s="33">
        <v>1342624</v>
      </c>
      <c r="CE347" s="33">
        <v>1291310</v>
      </c>
      <c r="CF347" s="33">
        <v>2641239</v>
      </c>
      <c r="CG347" s="33">
        <v>1229175</v>
      </c>
      <c r="CH347" s="33">
        <v>1203590</v>
      </c>
      <c r="CI347" s="33">
        <v>1207120</v>
      </c>
      <c r="CJ347" s="33">
        <v>1216047</v>
      </c>
      <c r="CK347" s="33">
        <v>1206105</v>
      </c>
      <c r="CL347" s="33">
        <v>1246762</v>
      </c>
      <c r="CM347" s="33">
        <v>1234826</v>
      </c>
      <c r="CN347" s="33">
        <v>1220392</v>
      </c>
      <c r="CO347" s="33">
        <v>1210196</v>
      </c>
    </row>
    <row r="348" spans="62:93" ht="19" customHeight="1" x14ac:dyDescent="0.35">
      <c r="BK348" s="1" t="str">
        <f t="shared" si="63"/>
        <v>CEMIG D|PASSIVO|NÃO CIRCULANTE|Obrigações pós-emprego</v>
      </c>
      <c r="BM348" s="392"/>
      <c r="BO348" s="6" t="s">
        <v>111</v>
      </c>
      <c r="BP348" s="25">
        <v>921211</v>
      </c>
      <c r="BQ348" s="25">
        <v>936060</v>
      </c>
      <c r="BR348" s="25">
        <v>942505</v>
      </c>
      <c r="BS348" s="25">
        <v>2668017</v>
      </c>
      <c r="BT348" s="33">
        <v>2737319</v>
      </c>
      <c r="BU348" s="33">
        <v>2713850</v>
      </c>
      <c r="BV348" s="33">
        <v>2714679</v>
      </c>
      <c r="BW348" s="33">
        <v>3450810</v>
      </c>
      <c r="BX348" s="33">
        <v>3426137</v>
      </c>
      <c r="BY348" s="33">
        <v>3418295</v>
      </c>
      <c r="BZ348" s="33">
        <v>3379693</v>
      </c>
      <c r="CA348" s="33">
        <v>3548083</v>
      </c>
      <c r="CB348" s="33">
        <v>3501965</v>
      </c>
      <c r="CC348" s="33">
        <v>3491310</v>
      </c>
      <c r="CD348" s="33">
        <v>3550093</v>
      </c>
      <c r="CE348" s="33">
        <v>3994639</v>
      </c>
      <c r="CF348" s="33">
        <v>3974206</v>
      </c>
      <c r="CG348" s="33">
        <v>3957227</v>
      </c>
      <c r="CH348" s="33">
        <v>3928836</v>
      </c>
      <c r="CI348" s="33">
        <v>4449402</v>
      </c>
      <c r="CJ348" s="33">
        <v>4445118</v>
      </c>
      <c r="CK348" s="33">
        <v>4440138</v>
      </c>
      <c r="CL348" s="33">
        <v>4433298</v>
      </c>
      <c r="CM348" s="33">
        <v>4411719</v>
      </c>
      <c r="CN348" s="33">
        <v>4416742</v>
      </c>
      <c r="CO348" s="33">
        <v>4377491</v>
      </c>
    </row>
    <row r="349" spans="62:93" ht="19" customHeight="1" x14ac:dyDescent="0.35">
      <c r="BK349" s="1" t="str">
        <f t="shared" si="63"/>
        <v>CEMIG D|PASSIVO|NÃO CIRCULANTE|Indenização Compensatória</v>
      </c>
      <c r="BM349" s="392"/>
      <c r="BO349" s="6" t="s">
        <v>302</v>
      </c>
      <c r="BP349" s="25">
        <v>452035</v>
      </c>
      <c r="BQ349" s="25">
        <v>452035</v>
      </c>
      <c r="BR349" s="25">
        <v>604552</v>
      </c>
      <c r="BS349" s="25">
        <v>0</v>
      </c>
      <c r="BT349" s="33">
        <v>0</v>
      </c>
      <c r="BU349" s="33">
        <v>0</v>
      </c>
      <c r="BV349" s="33">
        <v>0</v>
      </c>
      <c r="BW349" s="33">
        <v>0</v>
      </c>
      <c r="BX349" s="33">
        <v>0</v>
      </c>
      <c r="BY349" s="33">
        <v>0</v>
      </c>
      <c r="BZ349" s="33">
        <v>0</v>
      </c>
      <c r="CA349" s="33">
        <v>0</v>
      </c>
      <c r="CB349" s="33">
        <v>0</v>
      </c>
      <c r="CC349" s="33">
        <v>0</v>
      </c>
      <c r="CD349" s="33">
        <v>0</v>
      </c>
      <c r="CE349" s="33">
        <v>0</v>
      </c>
      <c r="CF349" s="33">
        <v>0</v>
      </c>
      <c r="CG349" s="33">
        <v>0</v>
      </c>
      <c r="CH349" s="33">
        <v>0</v>
      </c>
      <c r="CI349" s="33">
        <v>0</v>
      </c>
      <c r="CJ349" s="33">
        <v>0</v>
      </c>
      <c r="CK349" s="33">
        <v>0</v>
      </c>
      <c r="CL349" s="33">
        <v>0</v>
      </c>
      <c r="CM349" s="33">
        <v>0</v>
      </c>
      <c r="CN349" s="33">
        <v>0</v>
      </c>
      <c r="CO349" s="33">
        <v>0</v>
      </c>
    </row>
    <row r="350" spans="62:93" ht="19" customHeight="1" x14ac:dyDescent="0.35">
      <c r="BK350" s="1" t="str">
        <f t="shared" si="63"/>
        <v>CEMIG D|PASSIVO|NÃO CIRCULANTE|Encargos regulatórios</v>
      </c>
      <c r="BM350" s="392"/>
      <c r="BO350" s="6" t="s">
        <v>295</v>
      </c>
      <c r="BP350" s="25">
        <v>169749</v>
      </c>
      <c r="BQ350" s="25">
        <v>158463</v>
      </c>
      <c r="BR350" s="25">
        <v>141432</v>
      </c>
      <c r="BS350" s="25">
        <v>136380</v>
      </c>
      <c r="BT350" s="33">
        <v>119518</v>
      </c>
      <c r="BU350" s="33">
        <v>105320</v>
      </c>
      <c r="BV350" s="33">
        <v>157767</v>
      </c>
      <c r="BW350" s="33">
        <v>189295</v>
      </c>
      <c r="BX350" s="33">
        <v>167295</v>
      </c>
      <c r="BY350" s="33">
        <v>104341</v>
      </c>
      <c r="BZ350" s="33">
        <v>81147</v>
      </c>
      <c r="CA350" s="33">
        <v>27631</v>
      </c>
      <c r="CB350" s="33">
        <v>37947</v>
      </c>
      <c r="CC350" s="33">
        <v>37586</v>
      </c>
      <c r="CD350" s="33">
        <v>55437</v>
      </c>
      <c r="CE350" s="33">
        <v>57518</v>
      </c>
      <c r="CF350" s="33">
        <v>48300</v>
      </c>
      <c r="CG350" s="33">
        <v>75785</v>
      </c>
      <c r="CH350" s="33">
        <v>197457</v>
      </c>
      <c r="CI350" s="33">
        <v>176346</v>
      </c>
      <c r="CJ350" s="33">
        <v>152193</v>
      </c>
      <c r="CK350" s="33">
        <v>121203</v>
      </c>
      <c r="CL350" s="33">
        <v>234237</v>
      </c>
      <c r="CM350" s="33">
        <v>217041</v>
      </c>
      <c r="CN350" s="33">
        <v>231857</v>
      </c>
      <c r="CO350" s="33">
        <v>122541</v>
      </c>
    </row>
    <row r="351" spans="62:93" ht="19" customHeight="1" x14ac:dyDescent="0.35">
      <c r="BK351" s="1" t="str">
        <f t="shared" si="63"/>
        <v>CEMIG D|PASSIVO|NÃO CIRCULANTE|Passivos setoriais da concessão</v>
      </c>
      <c r="BO351" s="6" t="s">
        <v>326</v>
      </c>
      <c r="BP351" s="25">
        <v>0</v>
      </c>
      <c r="BQ351" s="25">
        <v>26410</v>
      </c>
      <c r="BR351" s="25">
        <v>0</v>
      </c>
      <c r="BS351" s="25">
        <v>0</v>
      </c>
      <c r="BT351" s="33">
        <v>0</v>
      </c>
      <c r="BU351" s="33">
        <v>0</v>
      </c>
      <c r="BV351" s="33">
        <v>0</v>
      </c>
      <c r="BW351" s="33">
        <v>0</v>
      </c>
      <c r="BX351" s="33">
        <v>0</v>
      </c>
      <c r="BY351" s="33">
        <v>0</v>
      </c>
      <c r="BZ351" s="33">
        <v>0</v>
      </c>
      <c r="CA351" s="33">
        <v>0</v>
      </c>
      <c r="CB351" s="33">
        <v>0</v>
      </c>
      <c r="CC351" s="33">
        <v>0</v>
      </c>
      <c r="CD351" s="33">
        <v>0</v>
      </c>
      <c r="CE351" s="33">
        <v>271196</v>
      </c>
      <c r="CF351" s="33">
        <v>270951</v>
      </c>
      <c r="CG351" s="33">
        <v>0</v>
      </c>
      <c r="CH351" s="33">
        <v>0</v>
      </c>
      <c r="CI351" s="33">
        <v>0</v>
      </c>
      <c r="CJ351" s="33">
        <v>0</v>
      </c>
      <c r="CK351" s="33">
        <v>0</v>
      </c>
      <c r="CL351" s="33">
        <v>0</v>
      </c>
      <c r="CM351" s="33">
        <v>633</v>
      </c>
      <c r="CN351" s="33">
        <v>0</v>
      </c>
      <c r="CO351" s="33">
        <v>0</v>
      </c>
    </row>
    <row r="352" spans="62:93" ht="19" customHeight="1" x14ac:dyDescent="0.35">
      <c r="BK352" s="1" t="str">
        <f t="shared" si="63"/>
        <v>CEMIG D|PASSIVO|NÃO CIRCULANTE|Valores a restituir a consumidores</v>
      </c>
      <c r="BM352" s="392"/>
      <c r="BO352" s="6" t="s">
        <v>304</v>
      </c>
      <c r="BP352" s="25">
        <v>26964</v>
      </c>
      <c r="BQ352" s="25">
        <v>193485</v>
      </c>
      <c r="BR352" s="25">
        <v>25853</v>
      </c>
      <c r="BS352" s="25">
        <v>25268</v>
      </c>
      <c r="BT352" s="33">
        <v>24685</v>
      </c>
      <c r="BU352" s="33">
        <v>24165</v>
      </c>
      <c r="BV352" s="33">
        <v>22880</v>
      </c>
      <c r="BW352" s="33">
        <v>22075</v>
      </c>
      <c r="BX352" s="33">
        <v>123880</v>
      </c>
      <c r="BY352" s="33">
        <v>524799</v>
      </c>
      <c r="BZ352" s="33">
        <v>501159</v>
      </c>
      <c r="CA352" s="33">
        <v>466602</v>
      </c>
      <c r="CB352" s="33">
        <v>420936</v>
      </c>
      <c r="CC352" s="33">
        <v>1699493</v>
      </c>
      <c r="CD352" s="33">
        <v>1632200</v>
      </c>
      <c r="CE352" s="33">
        <v>1545228</v>
      </c>
      <c r="CF352" s="33">
        <v>33384</v>
      </c>
      <c r="CG352" s="33">
        <v>2184324</v>
      </c>
      <c r="CH352" s="33">
        <v>2132289</v>
      </c>
      <c r="CI352" s="33">
        <v>2071342</v>
      </c>
      <c r="CJ352" s="33">
        <v>2038718</v>
      </c>
      <c r="CK352" s="33">
        <v>3023426</v>
      </c>
      <c r="CL352" s="33">
        <v>3569837</v>
      </c>
      <c r="CM352" s="33">
        <v>3535250</v>
      </c>
      <c r="CN352" s="33">
        <v>3522442</v>
      </c>
      <c r="CO352" s="33">
        <v>4217114</v>
      </c>
    </row>
    <row r="353" spans="63:93" ht="19" customHeight="1" x14ac:dyDescent="0.35">
      <c r="BK353" s="1" t="str">
        <f t="shared" si="63"/>
        <v>CEMIG D|PASSIVO|NÃO CIRCULANTE|Juros sobre capital próprio e dividendos a pagar</v>
      </c>
      <c r="BO353" s="6" t="s">
        <v>297</v>
      </c>
      <c r="BP353" s="25">
        <v>0</v>
      </c>
      <c r="BQ353" s="25">
        <v>19051</v>
      </c>
      <c r="BR353" s="25">
        <v>0</v>
      </c>
      <c r="BS353" s="25">
        <v>0</v>
      </c>
      <c r="BT353" s="33">
        <v>0</v>
      </c>
      <c r="BU353" s="33">
        <v>0</v>
      </c>
      <c r="BV353" s="33">
        <v>0</v>
      </c>
      <c r="BW353" s="33">
        <v>0</v>
      </c>
      <c r="BX353" s="33">
        <v>0</v>
      </c>
      <c r="BY353" s="33">
        <v>0</v>
      </c>
      <c r="BZ353" s="33">
        <v>0</v>
      </c>
      <c r="CA353" s="33">
        <v>679794</v>
      </c>
      <c r="CB353" s="33">
        <v>679794</v>
      </c>
      <c r="CC353" s="33">
        <v>679794</v>
      </c>
      <c r="CD353" s="33">
        <v>679794</v>
      </c>
      <c r="CE353" s="33">
        <v>0</v>
      </c>
      <c r="CF353" s="33">
        <v>0</v>
      </c>
      <c r="CG353" s="33">
        <v>0</v>
      </c>
      <c r="CH353" s="33">
        <v>0</v>
      </c>
      <c r="CI353" s="33">
        <v>0</v>
      </c>
      <c r="CJ353" s="33">
        <v>0</v>
      </c>
      <c r="CK353" s="33">
        <v>0</v>
      </c>
      <c r="CL353" s="33">
        <v>0</v>
      </c>
      <c r="CM353" s="33">
        <v>0</v>
      </c>
      <c r="CN353" s="33">
        <v>0</v>
      </c>
      <c r="CO353" s="33">
        <v>0</v>
      </c>
    </row>
    <row r="354" spans="63:93" ht="19" customHeight="1" x14ac:dyDescent="0.35">
      <c r="BK354" s="1" t="str">
        <f t="shared" si="63"/>
        <v>CEMIG D|PASSIVO|NÃO CIRCULANTE|Arrendamentos - obrigações</v>
      </c>
      <c r="BM354" s="392"/>
      <c r="BO354" s="6" t="s">
        <v>328</v>
      </c>
      <c r="BP354" s="25">
        <v>185298</v>
      </c>
      <c r="BQ354" s="25">
        <v>0</v>
      </c>
      <c r="BR354" s="25">
        <v>205747</v>
      </c>
      <c r="BS354" s="25">
        <v>214830</v>
      </c>
      <c r="BT354" s="33">
        <v>216760</v>
      </c>
      <c r="BU354" s="33">
        <v>210403</v>
      </c>
      <c r="BV354" s="33">
        <v>219249</v>
      </c>
      <c r="BW354" s="33">
        <v>223882</v>
      </c>
      <c r="BX354" s="33">
        <v>233805</v>
      </c>
      <c r="BY354" s="33">
        <v>229577</v>
      </c>
      <c r="BZ354" s="33">
        <v>230235</v>
      </c>
      <c r="CA354" s="33">
        <v>232523</v>
      </c>
      <c r="CB354" s="33">
        <v>240684</v>
      </c>
      <c r="CC354" s="33">
        <v>248886</v>
      </c>
      <c r="CD354" s="33">
        <v>216271</v>
      </c>
      <c r="CE354" s="33">
        <v>159045</v>
      </c>
      <c r="CF354" s="33">
        <v>137305</v>
      </c>
      <c r="CG354" s="33">
        <v>140211</v>
      </c>
      <c r="CH354" s="33">
        <v>141751</v>
      </c>
      <c r="CI354" s="33">
        <v>141851</v>
      </c>
      <c r="CJ354" s="33">
        <v>130735</v>
      </c>
      <c r="CK354" s="33">
        <v>135340</v>
      </c>
      <c r="CL354" s="33">
        <v>139241</v>
      </c>
      <c r="CM354" s="33">
        <v>133922</v>
      </c>
      <c r="CN354" s="33">
        <v>139088</v>
      </c>
      <c r="CO354" s="33">
        <v>147956</v>
      </c>
    </row>
    <row r="355" spans="63:93" ht="19" customHeight="1" x14ac:dyDescent="0.35">
      <c r="BK355" s="1" t="str">
        <f t="shared" si="63"/>
        <v>CEMIG D|PASSIVO|NÃO CIRCULANTE|Outros passivos</v>
      </c>
      <c r="BM355" s="392"/>
      <c r="BO355" s="6" t="s">
        <v>306</v>
      </c>
      <c r="BP355" s="25">
        <v>19397</v>
      </c>
      <c r="BQ355" s="25">
        <v>0</v>
      </c>
      <c r="BR355" s="25">
        <v>18660</v>
      </c>
      <c r="BS355" s="25">
        <v>19043</v>
      </c>
      <c r="BT355" s="33">
        <v>19132</v>
      </c>
      <c r="BU355" s="33">
        <v>19294</v>
      </c>
      <c r="BV355" s="33">
        <v>19293</v>
      </c>
      <c r="BW355" s="33">
        <v>19260</v>
      </c>
      <c r="BX355" s="33">
        <v>19261</v>
      </c>
      <c r="BY355" s="33">
        <v>19262</v>
      </c>
      <c r="BZ355" s="33">
        <v>19248</v>
      </c>
      <c r="CA355" s="33">
        <v>19249</v>
      </c>
      <c r="CB355" s="33">
        <v>19246</v>
      </c>
      <c r="CC355" s="33">
        <v>19246</v>
      </c>
      <c r="CD355" s="33">
        <v>19248</v>
      </c>
      <c r="CE355" s="33">
        <v>19245</v>
      </c>
      <c r="CF355" s="33">
        <v>19232</v>
      </c>
      <c r="CG355" s="33">
        <v>19239</v>
      </c>
      <c r="CH355" s="33">
        <v>19239</v>
      </c>
      <c r="CI355" s="33">
        <v>19340</v>
      </c>
      <c r="CJ355" s="33">
        <v>14152</v>
      </c>
      <c r="CK355" s="33">
        <v>17008</v>
      </c>
      <c r="CL355" s="33">
        <v>16607</v>
      </c>
      <c r="CM355" s="33">
        <v>16719</v>
      </c>
      <c r="CN355" s="33">
        <v>16890</v>
      </c>
      <c r="CO355" s="33">
        <v>17309</v>
      </c>
    </row>
    <row r="356" spans="63:93" ht="28" customHeight="1" x14ac:dyDescent="0.35">
      <c r="BK356" s="81" t="str">
        <f>BO356</f>
        <v>TOTAL DO PASSIVO</v>
      </c>
      <c r="BL356" s="81"/>
      <c r="BO356" s="39" t="s">
        <v>240</v>
      </c>
      <c r="BP356" s="80">
        <f t="shared" ref="BP356:CO356" si="64">IFERROR(SUM(BP345,BP324),0)</f>
        <v>28123017</v>
      </c>
      <c r="BQ356" s="80">
        <f t="shared" si="64"/>
        <v>26833183</v>
      </c>
      <c r="BR356" s="80">
        <f t="shared" si="64"/>
        <v>25733335</v>
      </c>
      <c r="BS356" s="80">
        <f t="shared" si="64"/>
        <v>24043440</v>
      </c>
      <c r="BT356" s="80">
        <f t="shared" si="64"/>
        <v>23485681</v>
      </c>
      <c r="BU356" s="80">
        <f t="shared" si="64"/>
        <v>23691827</v>
      </c>
      <c r="BV356" s="80">
        <f t="shared" si="64"/>
        <v>21171862</v>
      </c>
      <c r="BW356" s="80">
        <f t="shared" si="64"/>
        <v>22523391</v>
      </c>
      <c r="BX356" s="80">
        <f t="shared" si="64"/>
        <v>19264716</v>
      </c>
      <c r="BY356" s="80">
        <f t="shared" si="64"/>
        <v>20224792</v>
      </c>
      <c r="BZ356" s="80">
        <f t="shared" si="64"/>
        <v>18699341</v>
      </c>
      <c r="CA356" s="80">
        <f t="shared" si="64"/>
        <v>18802065</v>
      </c>
      <c r="CB356" s="80">
        <f t="shared" si="64"/>
        <v>18563652</v>
      </c>
      <c r="CC356" s="80">
        <f t="shared" si="64"/>
        <v>17886544</v>
      </c>
      <c r="CD356" s="80">
        <f t="shared" si="64"/>
        <v>18307385</v>
      </c>
      <c r="CE356" s="80">
        <f t="shared" si="64"/>
        <v>18913010</v>
      </c>
      <c r="CF356" s="80">
        <f t="shared" si="64"/>
        <v>19062531</v>
      </c>
      <c r="CG356" s="80">
        <f t="shared" si="64"/>
        <v>16513609</v>
      </c>
      <c r="CH356" s="80">
        <f t="shared" si="64"/>
        <v>17654962</v>
      </c>
      <c r="CI356" s="80">
        <f t="shared" si="64"/>
        <v>18536487</v>
      </c>
      <c r="CJ356" s="80">
        <f t="shared" si="64"/>
        <v>17851441</v>
      </c>
      <c r="CK356" s="80">
        <f t="shared" si="64"/>
        <v>17836989</v>
      </c>
      <c r="CL356" s="80">
        <f t="shared" si="64"/>
        <v>19119392</v>
      </c>
      <c r="CM356" s="80">
        <f t="shared" si="64"/>
        <v>19131348</v>
      </c>
      <c r="CN356" s="80">
        <f t="shared" si="64"/>
        <v>19036873</v>
      </c>
      <c r="CO356" s="80">
        <f t="shared" si="64"/>
        <v>18964978</v>
      </c>
    </row>
    <row r="357" spans="63:93" ht="19" customHeight="1" x14ac:dyDescent="0.35">
      <c r="BP357" s="27"/>
      <c r="BQ357" s="27"/>
      <c r="BR357" s="27"/>
    </row>
    <row r="358" spans="63:93" ht="35.15" customHeight="1" x14ac:dyDescent="0.35">
      <c r="BK358" s="81" t="str">
        <f>BO358</f>
        <v>PATRIMÔNIO LÍQUIDO</v>
      </c>
      <c r="BL358" s="81"/>
      <c r="BO358" s="169" t="s">
        <v>242</v>
      </c>
      <c r="BP358" s="166" t="str">
        <f t="shared" ref="BP358:BQ358" si="65">BP291</f>
        <v>jun | 2026</v>
      </c>
      <c r="BQ358" s="166" t="str">
        <f t="shared" si="65"/>
        <v>mar | 2026</v>
      </c>
      <c r="BR358" s="166" t="str">
        <f>BR291</f>
        <v>dez | 2025</v>
      </c>
      <c r="BS358" s="166" t="str">
        <f t="shared" ref="BS358:CN358" si="66">BS291</f>
        <v>set | 2025</v>
      </c>
      <c r="BT358" s="166" t="str">
        <f t="shared" si="66"/>
        <v>jun | 2025</v>
      </c>
      <c r="BU358" s="166" t="str">
        <f t="shared" si="66"/>
        <v>mar | 2025</v>
      </c>
      <c r="BV358" s="166" t="str">
        <f t="shared" si="66"/>
        <v>dez | 2024</v>
      </c>
      <c r="BW358" s="166" t="str">
        <f t="shared" si="66"/>
        <v>set | 2024</v>
      </c>
      <c r="BX358" s="166" t="str">
        <f t="shared" si="66"/>
        <v>jun | 2024</v>
      </c>
      <c r="BY358" s="166" t="str">
        <f t="shared" si="66"/>
        <v>mar | 2024</v>
      </c>
      <c r="BZ358" s="166" t="str">
        <f t="shared" si="66"/>
        <v>dez | 2023</v>
      </c>
      <c r="CA358" s="166" t="str">
        <f t="shared" si="66"/>
        <v>set | 2023</v>
      </c>
      <c r="CB358" s="166" t="str">
        <f t="shared" si="66"/>
        <v>jun | 2023</v>
      </c>
      <c r="CC358" s="166" t="str">
        <f t="shared" si="66"/>
        <v>mar | 2023</v>
      </c>
      <c r="CD358" s="166" t="str">
        <f t="shared" si="66"/>
        <v>dez | 2022</v>
      </c>
      <c r="CE358" s="166" t="str">
        <f t="shared" si="66"/>
        <v>set | 2022</v>
      </c>
      <c r="CF358" s="166" t="str">
        <f t="shared" si="66"/>
        <v>jun | 2022</v>
      </c>
      <c r="CG358" s="166" t="str">
        <f t="shared" si="66"/>
        <v>mar | 2022</v>
      </c>
      <c r="CH358" s="166" t="str">
        <f t="shared" si="66"/>
        <v>dez | 2021</v>
      </c>
      <c r="CI358" s="166" t="str">
        <f t="shared" si="66"/>
        <v>set | 2021</v>
      </c>
      <c r="CJ358" s="166" t="str">
        <f t="shared" si="66"/>
        <v>jun | 2021</v>
      </c>
      <c r="CK358" s="166" t="str">
        <f t="shared" si="66"/>
        <v>mar | 2021</v>
      </c>
      <c r="CL358" s="166" t="str">
        <f t="shared" si="66"/>
        <v>dez | 2020</v>
      </c>
      <c r="CM358" s="166" t="str">
        <f t="shared" si="66"/>
        <v>set | 2020</v>
      </c>
      <c r="CN358" s="166" t="str">
        <f t="shared" si="66"/>
        <v>jun | 2020</v>
      </c>
      <c r="CO358" s="166" t="str">
        <f>CO291</f>
        <v>mar | 2020</v>
      </c>
    </row>
    <row r="359" spans="63:93" ht="19" customHeight="1" x14ac:dyDescent="0.35">
      <c r="BK359" s="1" t="str">
        <f>_xlfn.CONCAT($BO$289,"|",$BO$358,"|",BO359)</f>
        <v>CEMIG D|PATRIMÔNIO LÍQUIDO|Capital social</v>
      </c>
      <c r="BM359" s="392"/>
      <c r="BO359" s="6" t="s">
        <v>310</v>
      </c>
      <c r="BP359" s="25">
        <v>6964105</v>
      </c>
      <c r="BQ359" s="25">
        <v>6964105</v>
      </c>
      <c r="BR359" s="25">
        <v>6964105</v>
      </c>
      <c r="BS359" s="25">
        <v>6964105</v>
      </c>
      <c r="BT359" s="33">
        <v>6964105</v>
      </c>
      <c r="BU359" s="33">
        <v>6964105</v>
      </c>
      <c r="BV359" s="33">
        <v>6964105</v>
      </c>
      <c r="BW359" s="33">
        <v>6284312</v>
      </c>
      <c r="BX359" s="33">
        <v>6284312</v>
      </c>
      <c r="BY359" s="33">
        <v>6284312</v>
      </c>
      <c r="BZ359" s="33">
        <v>6284312</v>
      </c>
      <c r="CA359" s="33">
        <v>6284312</v>
      </c>
      <c r="CB359" s="33">
        <v>5834312</v>
      </c>
      <c r="CC359" s="33">
        <v>5371998</v>
      </c>
      <c r="CD359" s="33">
        <v>5371998</v>
      </c>
      <c r="CE359" s="33">
        <v>5371998</v>
      </c>
      <c r="CF359" s="33">
        <v>5371998</v>
      </c>
      <c r="CG359" s="33">
        <v>5371998</v>
      </c>
      <c r="CH359" s="33">
        <v>5371998</v>
      </c>
      <c r="CI359" s="33">
        <v>5371998</v>
      </c>
      <c r="CJ359" s="33">
        <v>5371998</v>
      </c>
      <c r="CK359" s="33">
        <v>5371998</v>
      </c>
      <c r="CL359" s="33">
        <v>5371998</v>
      </c>
      <c r="CM359" s="33">
        <v>5371998</v>
      </c>
      <c r="CN359" s="33">
        <v>5371998</v>
      </c>
      <c r="CO359" s="33">
        <v>5371998</v>
      </c>
    </row>
    <row r="360" spans="63:93" ht="19" customHeight="1" x14ac:dyDescent="0.35">
      <c r="BK360" s="1" t="str">
        <f>_xlfn.CONCAT($BO$289,"|",$BO$358,"|",BO360)</f>
        <v>CEMIG D|PATRIMÔNIO LÍQUIDO|Adiantamento para futuro aumento de capital </v>
      </c>
      <c r="BO360" s="6" t="s">
        <v>329</v>
      </c>
      <c r="BP360" s="25">
        <v>0</v>
      </c>
      <c r="BQ360" s="25">
        <v>6048031</v>
      </c>
      <c r="BR360" s="25">
        <v>0</v>
      </c>
      <c r="BS360" s="25">
        <v>0</v>
      </c>
      <c r="BT360" s="33">
        <v>0</v>
      </c>
      <c r="BU360" s="33">
        <v>0</v>
      </c>
      <c r="BV360" s="33">
        <v>0</v>
      </c>
      <c r="BW360" s="33">
        <v>0</v>
      </c>
      <c r="BX360" s="33">
        <v>0</v>
      </c>
      <c r="BY360" s="33">
        <v>0</v>
      </c>
      <c r="BZ360" s="33">
        <v>0</v>
      </c>
      <c r="CA360" s="33">
        <v>0</v>
      </c>
      <c r="CB360" s="33">
        <v>450000</v>
      </c>
      <c r="CC360" s="33">
        <v>544000</v>
      </c>
      <c r="CD360" s="33">
        <v>0</v>
      </c>
      <c r="CE360" s="33">
        <v>0</v>
      </c>
      <c r="CF360" s="33">
        <v>0</v>
      </c>
      <c r="CG360" s="33">
        <v>0</v>
      </c>
      <c r="CH360" s="33">
        <v>0</v>
      </c>
      <c r="CI360" s="33">
        <v>0</v>
      </c>
      <c r="CJ360" s="33">
        <v>0</v>
      </c>
      <c r="CK360" s="33">
        <v>0</v>
      </c>
      <c r="CL360" s="33">
        <v>0</v>
      </c>
      <c r="CM360" s="33">
        <v>0</v>
      </c>
      <c r="CN360" s="33">
        <v>0</v>
      </c>
      <c r="CO360" s="33">
        <v>0</v>
      </c>
    </row>
    <row r="361" spans="63:93" ht="19" customHeight="1" x14ac:dyDescent="0.35">
      <c r="BK361" s="1" t="str">
        <f>_xlfn.CONCAT($BO$289,"|",$BO$358,"|",BO361)</f>
        <v>CEMIG D|PATRIMÔNIO LÍQUIDO|Reservas de lucros</v>
      </c>
      <c r="BM361" s="392"/>
      <c r="BO361" s="6" t="s">
        <v>312</v>
      </c>
      <c r="BP361" s="25">
        <v>6048031</v>
      </c>
      <c r="BQ361" s="25">
        <v>-490220</v>
      </c>
      <c r="BR361" s="25">
        <v>6048031</v>
      </c>
      <c r="BS361" s="25">
        <v>5688534</v>
      </c>
      <c r="BT361" s="33">
        <v>5688534</v>
      </c>
      <c r="BU361" s="33">
        <v>5206587</v>
      </c>
      <c r="BV361" s="33">
        <v>5206587</v>
      </c>
      <c r="BW361" s="33">
        <v>3976565</v>
      </c>
      <c r="BX361" s="33">
        <v>3976565</v>
      </c>
      <c r="BY361" s="33">
        <v>3976565</v>
      </c>
      <c r="BZ361" s="33">
        <v>3976565</v>
      </c>
      <c r="CA361" s="33">
        <v>3270982</v>
      </c>
      <c r="CB361" s="33">
        <v>3270982</v>
      </c>
      <c r="CC361" s="33">
        <v>3115956</v>
      </c>
      <c r="CD361" s="33">
        <v>3270982</v>
      </c>
      <c r="CE361" s="33">
        <v>3404039</v>
      </c>
      <c r="CF361" s="33">
        <v>3404039</v>
      </c>
      <c r="CG361" s="33">
        <v>3273582</v>
      </c>
      <c r="CH361" s="33">
        <v>3404039</v>
      </c>
      <c r="CI361" s="33">
        <v>2366442</v>
      </c>
      <c r="CJ361" s="33">
        <v>2471584</v>
      </c>
      <c r="CK361" s="33">
        <v>2567003</v>
      </c>
      <c r="CL361" s="33">
        <v>2653670</v>
      </c>
      <c r="CM361" s="33">
        <v>1799685</v>
      </c>
      <c r="CN361" s="33">
        <v>1799685</v>
      </c>
      <c r="CO361" s="33">
        <v>1329789</v>
      </c>
    </row>
    <row r="362" spans="63:93" ht="19" customHeight="1" x14ac:dyDescent="0.35">
      <c r="BK362" s="1" t="str">
        <f>_xlfn.CONCAT($BO$289,"|",$BO$358,"|",BO362)</f>
        <v>CEMIG D|PATRIMÔNIO LÍQUIDO|Ajustes de avaliação patrimonial</v>
      </c>
      <c r="BM362" s="392"/>
      <c r="BO362" s="6" t="s">
        <v>313</v>
      </c>
      <c r="BP362" s="25">
        <v>-510518</v>
      </c>
      <c r="BQ362" s="25">
        <v>109394</v>
      </c>
      <c r="BR362" s="25">
        <v>-490221</v>
      </c>
      <c r="BS362" s="25">
        <v>-832951</v>
      </c>
      <c r="BT362" s="33">
        <v>-883929</v>
      </c>
      <c r="BU362" s="33">
        <v>-861442</v>
      </c>
      <c r="BV362" s="33">
        <v>-889439</v>
      </c>
      <c r="BW362" s="33">
        <v>-1377652</v>
      </c>
      <c r="BX362" s="33">
        <v>-1377652</v>
      </c>
      <c r="BY362" s="33">
        <v>-1377652</v>
      </c>
      <c r="BZ362" s="33">
        <v>-1377652</v>
      </c>
      <c r="CA362" s="33">
        <v>-1508854</v>
      </c>
      <c r="CB362" s="33">
        <v>-1508854</v>
      </c>
      <c r="CC362" s="33">
        <v>-1508854</v>
      </c>
      <c r="CD362" s="33">
        <v>-1537720</v>
      </c>
      <c r="CE362" s="33">
        <v>-1833371</v>
      </c>
      <c r="CF362" s="33">
        <v>-1833371</v>
      </c>
      <c r="CG362" s="33">
        <v>-1833371</v>
      </c>
      <c r="CH362" s="33">
        <v>-1833371</v>
      </c>
      <c r="CI362" s="33">
        <v>-2004037</v>
      </c>
      <c r="CJ362" s="33">
        <v>-2004037</v>
      </c>
      <c r="CK362" s="33">
        <v>-2004037</v>
      </c>
      <c r="CL362" s="33">
        <v>-2004037</v>
      </c>
      <c r="CM362" s="33">
        <v>-1993579</v>
      </c>
      <c r="CN362" s="33">
        <v>-1993579</v>
      </c>
      <c r="CO362" s="33">
        <v>-1993579</v>
      </c>
    </row>
    <row r="363" spans="63:93" ht="19" customHeight="1" x14ac:dyDescent="0.35">
      <c r="BK363" s="1" t="str">
        <f>_xlfn.CONCAT($BO$289,"|",$BO$358,"|",BO363)</f>
        <v>CEMIG D|PATRIMÔNIO LÍQUIDO|Lucros acumulados</v>
      </c>
      <c r="BM363" s="392"/>
      <c r="BO363" s="19" t="s">
        <v>314</v>
      </c>
      <c r="BP363" s="25">
        <v>310055</v>
      </c>
      <c r="BQ363" s="25">
        <v>0</v>
      </c>
      <c r="BR363" s="25">
        <v>0</v>
      </c>
      <c r="BS363" s="25">
        <v>348455</v>
      </c>
      <c r="BT363" s="33">
        <v>355383</v>
      </c>
      <c r="BU363" s="33">
        <v>78941</v>
      </c>
      <c r="BV363" s="33">
        <v>0</v>
      </c>
      <c r="BW363" s="33">
        <v>1228006</v>
      </c>
      <c r="BX363" s="33">
        <v>1050887</v>
      </c>
      <c r="BY363" s="33">
        <v>160729</v>
      </c>
      <c r="BZ363" s="33">
        <v>0</v>
      </c>
      <c r="CA363" s="33">
        <v>715821</v>
      </c>
      <c r="CB363" s="33">
        <v>414568</v>
      </c>
      <c r="CC363" s="33">
        <v>369530</v>
      </c>
      <c r="CD363" s="33">
        <v>0</v>
      </c>
      <c r="CE363" s="33">
        <v>-440591</v>
      </c>
      <c r="CF363" s="33">
        <v>-807070</v>
      </c>
      <c r="CG363" s="33">
        <v>375927</v>
      </c>
      <c r="CH363" s="33">
        <v>0</v>
      </c>
      <c r="CI363" s="33">
        <v>1139767</v>
      </c>
      <c r="CJ363" s="33">
        <v>739793</v>
      </c>
      <c r="CK363" s="33">
        <v>392152</v>
      </c>
      <c r="CL363" s="33">
        <v>0</v>
      </c>
      <c r="CM363" s="33">
        <v>843263</v>
      </c>
      <c r="CN363" s="33">
        <v>479390</v>
      </c>
      <c r="CO363" s="33">
        <v>196589</v>
      </c>
    </row>
    <row r="364" spans="63:93" ht="28" customHeight="1" x14ac:dyDescent="0.35">
      <c r="BK364" s="81" t="str">
        <f>BO364</f>
        <v>TOTAL DO PATRIMÔNIO LÍQUIDO</v>
      </c>
      <c r="BL364" s="81"/>
      <c r="BO364" s="39" t="s">
        <v>243</v>
      </c>
      <c r="BP364" s="80">
        <f>IFERROR(SUM(BP359:BP363),0)</f>
        <v>12811673</v>
      </c>
      <c r="BQ364" s="80">
        <f t="shared" ref="BQ364" si="67">IFERROR(SUM(BQ359:BQ363),0)</f>
        <v>12631310</v>
      </c>
      <c r="BR364" s="80">
        <f>IFERROR(SUM(BR359:BR363),0)</f>
        <v>12521915</v>
      </c>
      <c r="BS364" s="80">
        <f t="shared" ref="BS364:CO364" si="68">IFERROR(SUM(BS359:BS363),0)</f>
        <v>12168143</v>
      </c>
      <c r="BT364" s="80">
        <f t="shared" si="68"/>
        <v>12124093</v>
      </c>
      <c r="BU364" s="80">
        <f t="shared" si="68"/>
        <v>11388191</v>
      </c>
      <c r="BV364" s="80">
        <f t="shared" si="68"/>
        <v>11281253</v>
      </c>
      <c r="BW364" s="80">
        <f t="shared" si="68"/>
        <v>10111231</v>
      </c>
      <c r="BX364" s="80">
        <f t="shared" si="68"/>
        <v>9934112</v>
      </c>
      <c r="BY364" s="80">
        <f t="shared" si="68"/>
        <v>9043954</v>
      </c>
      <c r="BZ364" s="80">
        <f t="shared" si="68"/>
        <v>8883225</v>
      </c>
      <c r="CA364" s="80">
        <f t="shared" si="68"/>
        <v>8762261</v>
      </c>
      <c r="CB364" s="80">
        <f t="shared" si="68"/>
        <v>8461008</v>
      </c>
      <c r="CC364" s="80">
        <f t="shared" si="68"/>
        <v>7892630</v>
      </c>
      <c r="CD364" s="80">
        <f t="shared" si="68"/>
        <v>7105260</v>
      </c>
      <c r="CE364" s="80">
        <f t="shared" si="68"/>
        <v>6502075</v>
      </c>
      <c r="CF364" s="80">
        <f t="shared" si="68"/>
        <v>6135596</v>
      </c>
      <c r="CG364" s="80">
        <f t="shared" si="68"/>
        <v>7188136</v>
      </c>
      <c r="CH364" s="80">
        <f t="shared" si="68"/>
        <v>6942666</v>
      </c>
      <c r="CI364" s="80">
        <f t="shared" si="68"/>
        <v>6874170</v>
      </c>
      <c r="CJ364" s="80">
        <f t="shared" si="68"/>
        <v>6579338</v>
      </c>
      <c r="CK364" s="80">
        <f t="shared" si="68"/>
        <v>6327116</v>
      </c>
      <c r="CL364" s="80">
        <f t="shared" si="68"/>
        <v>6021631</v>
      </c>
      <c r="CM364" s="80">
        <f t="shared" si="68"/>
        <v>6021367</v>
      </c>
      <c r="CN364" s="80">
        <f t="shared" si="68"/>
        <v>5657494</v>
      </c>
      <c r="CO364" s="80">
        <f t="shared" si="68"/>
        <v>4904797</v>
      </c>
    </row>
    <row r="365" spans="63:93" ht="19" customHeight="1" x14ac:dyDescent="0.35">
      <c r="BK365" s="81"/>
      <c r="BL365" s="81"/>
    </row>
    <row r="366" spans="63:93" ht="28" customHeight="1" x14ac:dyDescent="0.35">
      <c r="BK366" s="81"/>
      <c r="BL366" s="81"/>
      <c r="BO366" s="39" t="s">
        <v>244</v>
      </c>
      <c r="BP366" s="80">
        <f t="shared" ref="BP366:CO366" si="69">IFERROR(SUM(BP364,BP356),0)</f>
        <v>40934690</v>
      </c>
      <c r="BQ366" s="80">
        <f t="shared" si="69"/>
        <v>39464493</v>
      </c>
      <c r="BR366" s="80">
        <f t="shared" si="69"/>
        <v>38255250</v>
      </c>
      <c r="BS366" s="80">
        <f t="shared" si="69"/>
        <v>36211583</v>
      </c>
      <c r="BT366" s="80">
        <f t="shared" si="69"/>
        <v>35609774</v>
      </c>
      <c r="BU366" s="80">
        <f t="shared" si="69"/>
        <v>35080018</v>
      </c>
      <c r="BV366" s="80">
        <f t="shared" si="69"/>
        <v>32453115</v>
      </c>
      <c r="BW366" s="80">
        <f t="shared" si="69"/>
        <v>32634622</v>
      </c>
      <c r="BX366" s="80">
        <f t="shared" si="69"/>
        <v>29198828</v>
      </c>
      <c r="BY366" s="80">
        <f t="shared" si="69"/>
        <v>29268746</v>
      </c>
      <c r="BZ366" s="80">
        <f t="shared" si="69"/>
        <v>27582566</v>
      </c>
      <c r="CA366" s="80">
        <f t="shared" si="69"/>
        <v>27564326</v>
      </c>
      <c r="CB366" s="80">
        <f t="shared" si="69"/>
        <v>27024660</v>
      </c>
      <c r="CC366" s="80">
        <f t="shared" si="69"/>
        <v>25779174</v>
      </c>
      <c r="CD366" s="80">
        <f t="shared" si="69"/>
        <v>25412645</v>
      </c>
      <c r="CE366" s="80">
        <f t="shared" si="69"/>
        <v>25415085</v>
      </c>
      <c r="CF366" s="80">
        <f t="shared" si="69"/>
        <v>25198127</v>
      </c>
      <c r="CG366" s="80">
        <f t="shared" si="69"/>
        <v>23701745</v>
      </c>
      <c r="CH366" s="80">
        <f t="shared" si="69"/>
        <v>24597628</v>
      </c>
      <c r="CI366" s="80">
        <f t="shared" si="69"/>
        <v>25410657</v>
      </c>
      <c r="CJ366" s="80">
        <f t="shared" si="69"/>
        <v>24430779</v>
      </c>
      <c r="CK366" s="80">
        <f t="shared" si="69"/>
        <v>24164105</v>
      </c>
      <c r="CL366" s="80">
        <f t="shared" si="69"/>
        <v>25141023</v>
      </c>
      <c r="CM366" s="80">
        <f t="shared" si="69"/>
        <v>25152715</v>
      </c>
      <c r="CN366" s="80">
        <f t="shared" si="69"/>
        <v>24694367</v>
      </c>
      <c r="CO366" s="80">
        <f t="shared" si="69"/>
        <v>23869775</v>
      </c>
    </row>
    <row r="367" spans="63:93" ht="35.15" customHeight="1" x14ac:dyDescent="0.35"/>
    <row r="368" spans="63:93" ht="35.15" customHeight="1" x14ac:dyDescent="0.35"/>
    <row r="369" spans="63:93" ht="40" customHeight="1" x14ac:dyDescent="0.35">
      <c r="BO369" s="479" t="s">
        <v>117</v>
      </c>
      <c r="BP369" s="479"/>
      <c r="BQ369" s="479"/>
      <c r="BR369" s="479"/>
      <c r="BS369" s="479"/>
      <c r="BT369" s="479"/>
      <c r="BU369" s="479"/>
      <c r="BV369" s="479"/>
      <c r="BW369" s="479"/>
      <c r="BX369" s="479"/>
      <c r="BY369" s="479"/>
      <c r="BZ369" s="479"/>
      <c r="CA369" s="479"/>
      <c r="CB369" s="479"/>
      <c r="CC369" s="479"/>
      <c r="CD369" s="479"/>
      <c r="CE369" s="479"/>
      <c r="CF369" s="479"/>
      <c r="CG369" s="479"/>
      <c r="CH369" s="479"/>
      <c r="CI369" s="479"/>
      <c r="CJ369" s="479"/>
      <c r="CK369" s="479"/>
      <c r="CL369" s="479"/>
      <c r="CM369" s="479"/>
      <c r="CN369" s="479"/>
      <c r="CO369" s="479"/>
    </row>
    <row r="370" spans="63:93" ht="15" customHeight="1" x14ac:dyDescent="0.35">
      <c r="BO370" s="83" t="s">
        <v>25</v>
      </c>
      <c r="BP370" s="83"/>
      <c r="BQ370" s="83"/>
      <c r="BR370" s="29"/>
      <c r="BS370" s="29"/>
      <c r="BT370" s="40"/>
      <c r="BU370" s="29"/>
      <c r="BV370" s="29"/>
      <c r="BW370" s="29"/>
      <c r="BX370" s="29"/>
      <c r="BY370" s="40" t="s">
        <v>25</v>
      </c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  <c r="CJ370" s="29"/>
      <c r="CK370" s="29"/>
    </row>
    <row r="371" spans="63:93" ht="35.15" customHeight="1" x14ac:dyDescent="0.35">
      <c r="BK371" s="81" t="str">
        <f>BO371</f>
        <v>ATIVO</v>
      </c>
      <c r="BL371" s="81"/>
      <c r="BO371" s="166" t="s">
        <v>235</v>
      </c>
      <c r="BP371" s="166" t="str">
        <f t="shared" ref="BP371:CO371" si="70">BP205</f>
        <v>jun | 2026</v>
      </c>
      <c r="BQ371" s="166" t="str">
        <f t="shared" si="70"/>
        <v>mar | 2026</v>
      </c>
      <c r="BR371" s="166" t="str">
        <f t="shared" si="70"/>
        <v>dez | 2025</v>
      </c>
      <c r="BS371" s="166" t="str">
        <f t="shared" si="70"/>
        <v>set | 2025</v>
      </c>
      <c r="BT371" s="166" t="str">
        <f t="shared" si="70"/>
        <v>jun | 2025</v>
      </c>
      <c r="BU371" s="166" t="str">
        <f t="shared" si="70"/>
        <v>mar | 2025</v>
      </c>
      <c r="BV371" s="166" t="str">
        <f t="shared" si="70"/>
        <v>dez | 2024</v>
      </c>
      <c r="BW371" s="166" t="str">
        <f t="shared" si="70"/>
        <v>set | 2024</v>
      </c>
      <c r="BX371" s="166" t="str">
        <f t="shared" si="70"/>
        <v>jun | 2024</v>
      </c>
      <c r="BY371" s="166" t="str">
        <f t="shared" si="70"/>
        <v>mar | 2024</v>
      </c>
      <c r="BZ371" s="166" t="str">
        <f t="shared" si="70"/>
        <v>dez | 2023</v>
      </c>
      <c r="CA371" s="166" t="str">
        <f t="shared" si="70"/>
        <v>set | 2023</v>
      </c>
      <c r="CB371" s="166" t="str">
        <f t="shared" si="70"/>
        <v>jun | 2023</v>
      </c>
      <c r="CC371" s="166" t="str">
        <f t="shared" si="70"/>
        <v>mar | 2023</v>
      </c>
      <c r="CD371" s="166" t="str">
        <f t="shared" si="70"/>
        <v>dez | 2022</v>
      </c>
      <c r="CE371" s="166" t="str">
        <f t="shared" si="70"/>
        <v>set | 2022</v>
      </c>
      <c r="CF371" s="166" t="str">
        <f t="shared" si="70"/>
        <v>jun | 2022</v>
      </c>
      <c r="CG371" s="166" t="str">
        <f t="shared" si="70"/>
        <v>mar | 2022</v>
      </c>
      <c r="CH371" s="166" t="str">
        <f t="shared" si="70"/>
        <v>dez | 2021</v>
      </c>
      <c r="CI371" s="166" t="str">
        <f t="shared" si="70"/>
        <v>set | 2021</v>
      </c>
      <c r="CJ371" s="166" t="str">
        <f t="shared" si="70"/>
        <v>jun | 2021</v>
      </c>
      <c r="CK371" s="166" t="str">
        <f t="shared" si="70"/>
        <v>mar | 2021</v>
      </c>
      <c r="CL371" s="166" t="str">
        <f t="shared" si="70"/>
        <v>dez | 2020</v>
      </c>
      <c r="CM371" s="166" t="str">
        <f t="shared" si="70"/>
        <v>set | 2020</v>
      </c>
      <c r="CN371" s="166" t="str">
        <f t="shared" si="70"/>
        <v>jun | 2020</v>
      </c>
      <c r="CO371" s="166" t="str">
        <f t="shared" si="70"/>
        <v>mar | 2020</v>
      </c>
    </row>
    <row r="372" spans="63:93" ht="23.15" customHeight="1" x14ac:dyDescent="0.35">
      <c r="BK372" s="81" t="str">
        <f>BO372</f>
        <v>CIRCULANTE</v>
      </c>
      <c r="BL372" s="81"/>
      <c r="BO372" s="42" t="s">
        <v>237</v>
      </c>
      <c r="BP372" s="43">
        <f t="shared" ref="BP372:CO372" si="71">IFERROR(SUM(BP373:BP386),0)</f>
        <v>4620538</v>
      </c>
      <c r="BQ372" s="43">
        <f t="shared" si="71"/>
        <v>3466806</v>
      </c>
      <c r="BR372" s="43">
        <f t="shared" si="71"/>
        <v>3163304</v>
      </c>
      <c r="BS372" s="43">
        <f t="shared" si="71"/>
        <v>3478317</v>
      </c>
      <c r="BT372" s="43">
        <f t="shared" si="71"/>
        <v>3048227</v>
      </c>
      <c r="BU372" s="43">
        <f t="shared" si="71"/>
        <v>3877740</v>
      </c>
      <c r="BV372" s="43">
        <f t="shared" si="71"/>
        <v>2849707</v>
      </c>
      <c r="BW372" s="43">
        <f t="shared" si="71"/>
        <v>6230009</v>
      </c>
      <c r="BX372" s="43">
        <f t="shared" si="71"/>
        <v>4761297</v>
      </c>
      <c r="BY372" s="43">
        <f t="shared" si="71"/>
        <v>5032654</v>
      </c>
      <c r="BZ372" s="43">
        <f t="shared" si="71"/>
        <v>3902675</v>
      </c>
      <c r="CA372" s="43">
        <f t="shared" si="71"/>
        <v>5081128</v>
      </c>
      <c r="CB372" s="43">
        <f t="shared" si="71"/>
        <v>4655093</v>
      </c>
      <c r="CC372" s="43">
        <f t="shared" si="71"/>
        <v>4890656</v>
      </c>
      <c r="CD372" s="43">
        <f t="shared" si="71"/>
        <v>4997595</v>
      </c>
      <c r="CE372" s="43">
        <f t="shared" si="71"/>
        <v>5325058</v>
      </c>
      <c r="CF372" s="43">
        <f t="shared" si="71"/>
        <v>4358678</v>
      </c>
      <c r="CG372" s="43">
        <f t="shared" si="71"/>
        <v>3610178</v>
      </c>
      <c r="CH372" s="43">
        <f t="shared" si="71"/>
        <v>3733420</v>
      </c>
      <c r="CI372" s="43">
        <f t="shared" si="71"/>
        <v>3672839</v>
      </c>
      <c r="CJ372" s="43">
        <f t="shared" si="71"/>
        <v>4594233</v>
      </c>
      <c r="CK372" s="43">
        <f t="shared" si="71"/>
        <v>4872003</v>
      </c>
      <c r="CL372" s="43">
        <f t="shared" si="71"/>
        <v>5104191</v>
      </c>
      <c r="CM372" s="43">
        <f t="shared" si="71"/>
        <v>5248088</v>
      </c>
      <c r="CN372" s="43">
        <f t="shared" si="71"/>
        <v>4504050</v>
      </c>
      <c r="CO372" s="43">
        <f t="shared" si="71"/>
        <v>3606916</v>
      </c>
    </row>
    <row r="373" spans="63:93" ht="19" customHeight="1" x14ac:dyDescent="0.35">
      <c r="BK373" s="1" t="str">
        <f>_xlfn.CONCAT($BO$369,"|",$BO$371,"|",$BO$372,"|",BO373)</f>
        <v>CEMIG GT|ATIVO|CIRCULANTE|Caixa e equivalentes de caixa</v>
      </c>
      <c r="BM373" s="392"/>
      <c r="BO373" s="5" t="s">
        <v>271</v>
      </c>
      <c r="BP373" s="21">
        <v>1207364</v>
      </c>
      <c r="BQ373" s="21">
        <v>541423</v>
      </c>
      <c r="BR373" s="21">
        <v>226202</v>
      </c>
      <c r="BS373" s="21">
        <v>419808</v>
      </c>
      <c r="BT373" s="136">
        <v>259554</v>
      </c>
      <c r="BU373" s="136">
        <v>588012</v>
      </c>
      <c r="BV373" s="136">
        <v>233739</v>
      </c>
      <c r="BW373" s="136">
        <v>2135269</v>
      </c>
      <c r="BX373" s="136">
        <v>309091</v>
      </c>
      <c r="BY373" s="136">
        <v>199059</v>
      </c>
      <c r="BZ373" s="136">
        <v>361954</v>
      </c>
      <c r="CA373" s="136">
        <v>530682</v>
      </c>
      <c r="CB373" s="136">
        <v>544277</v>
      </c>
      <c r="CC373" s="136">
        <v>325711</v>
      </c>
      <c r="CD373" s="136">
        <v>292980</v>
      </c>
      <c r="CE373" s="136">
        <v>598888</v>
      </c>
      <c r="CF373" s="136">
        <v>421321</v>
      </c>
      <c r="CG373" s="136">
        <v>342470</v>
      </c>
      <c r="CH373" s="136">
        <v>123071</v>
      </c>
      <c r="CI373" s="136">
        <v>160268</v>
      </c>
      <c r="CJ373" s="136">
        <v>743809</v>
      </c>
      <c r="CK373" s="136">
        <v>550820</v>
      </c>
      <c r="CL373" s="136">
        <v>384397</v>
      </c>
      <c r="CM373" s="136">
        <v>296513</v>
      </c>
      <c r="CN373" s="136">
        <v>248567</v>
      </c>
      <c r="CO373" s="136">
        <v>346754</v>
      </c>
    </row>
    <row r="374" spans="63:93" ht="19" customHeight="1" x14ac:dyDescent="0.35">
      <c r="BK374" s="1" t="str">
        <f t="shared" ref="BK374:BK386" si="72">_xlfn.CONCAT($BO$369,"|",$BO$371,"|",$BO$372,"|",BO374)</f>
        <v>CEMIG GT|ATIVO|CIRCULANTE|Títulos e valores mobiliários</v>
      </c>
      <c r="BM374" s="392"/>
      <c r="BO374" s="6" t="s">
        <v>272</v>
      </c>
      <c r="BP374" s="21">
        <v>505034</v>
      </c>
      <c r="BQ374" s="21">
        <v>223414</v>
      </c>
      <c r="BR374" s="21">
        <v>237689</v>
      </c>
      <c r="BS374" s="21">
        <v>502328</v>
      </c>
      <c r="BT374" s="136">
        <v>354177</v>
      </c>
      <c r="BU374" s="136">
        <v>762786</v>
      </c>
      <c r="BV374" s="136">
        <v>224298</v>
      </c>
      <c r="BW374" s="136">
        <v>1296180</v>
      </c>
      <c r="BX374" s="136">
        <v>803231</v>
      </c>
      <c r="BY374" s="136">
        <v>1016027</v>
      </c>
      <c r="BZ374" s="136">
        <v>575564</v>
      </c>
      <c r="CA374" s="136">
        <v>1205707</v>
      </c>
      <c r="CB374" s="136">
        <v>750986</v>
      </c>
      <c r="CC374" s="136">
        <v>1290745</v>
      </c>
      <c r="CD374" s="136">
        <v>1352359</v>
      </c>
      <c r="CE374" s="136">
        <v>1579284</v>
      </c>
      <c r="CF374" s="136">
        <v>1016395</v>
      </c>
      <c r="CG374" s="136">
        <v>675397</v>
      </c>
      <c r="CH374" s="136">
        <v>943789</v>
      </c>
      <c r="CI374" s="136">
        <v>692042</v>
      </c>
      <c r="CJ374" s="136">
        <v>1252198</v>
      </c>
      <c r="CK374" s="136">
        <v>884822</v>
      </c>
      <c r="CL374" s="136">
        <v>1132281</v>
      </c>
      <c r="CM374" s="136">
        <v>1323867</v>
      </c>
      <c r="CN374" s="136">
        <v>1033279</v>
      </c>
      <c r="CO374" s="136">
        <v>472497</v>
      </c>
    </row>
    <row r="375" spans="63:93" ht="19" customHeight="1" x14ac:dyDescent="0.35">
      <c r="BK375" s="1" t="str">
        <f t="shared" si="72"/>
        <v>CEMIG GT|ATIVO|CIRCULANTE|Consumidores e revendedores</v>
      </c>
      <c r="BM375" s="392"/>
      <c r="BO375" s="6" t="s">
        <v>316</v>
      </c>
      <c r="BP375" s="21">
        <v>682633</v>
      </c>
      <c r="BQ375" s="21">
        <v>665624</v>
      </c>
      <c r="BR375" s="21">
        <v>670112</v>
      </c>
      <c r="BS375" s="21">
        <v>625674</v>
      </c>
      <c r="BT375" s="136">
        <v>560867</v>
      </c>
      <c r="BU375" s="136">
        <v>599156</v>
      </c>
      <c r="BV375" s="136">
        <v>551131</v>
      </c>
      <c r="BW375" s="136">
        <v>508774</v>
      </c>
      <c r="BX375" s="136">
        <v>453897</v>
      </c>
      <c r="BY375" s="136">
        <v>497110</v>
      </c>
      <c r="BZ375" s="136">
        <v>654596</v>
      </c>
      <c r="CA375" s="136">
        <v>567903</v>
      </c>
      <c r="CB375" s="136">
        <v>561777</v>
      </c>
      <c r="CC375" s="136">
        <v>859249</v>
      </c>
      <c r="CD375" s="136">
        <v>982643</v>
      </c>
      <c r="CE375" s="136">
        <v>908487</v>
      </c>
      <c r="CF375" s="136">
        <v>821482</v>
      </c>
      <c r="CG375" s="136">
        <v>873591</v>
      </c>
      <c r="CH375" s="136">
        <v>681255</v>
      </c>
      <c r="CI375" s="136">
        <v>952245</v>
      </c>
      <c r="CJ375" s="136">
        <v>727741</v>
      </c>
      <c r="CK375" s="136">
        <v>815991</v>
      </c>
      <c r="CL375" s="136">
        <v>910455</v>
      </c>
      <c r="CM375" s="136">
        <v>993596</v>
      </c>
      <c r="CN375" s="136">
        <v>840000</v>
      </c>
      <c r="CO375" s="136">
        <v>905239</v>
      </c>
    </row>
    <row r="376" spans="63:93" ht="19" customHeight="1" x14ac:dyDescent="0.35">
      <c r="BK376" s="1" t="str">
        <f t="shared" si="72"/>
        <v>CEMIG GT|ATIVO|CIRCULANTE|Concessionários - transporte de energia</v>
      </c>
      <c r="BM376" s="392"/>
      <c r="BO376" s="6" t="s">
        <v>317</v>
      </c>
      <c r="BP376" s="21">
        <v>142113</v>
      </c>
      <c r="BQ376" s="21">
        <v>138608</v>
      </c>
      <c r="BR376" s="21">
        <v>134401</v>
      </c>
      <c r="BS376" s="21">
        <v>140758</v>
      </c>
      <c r="BT376" s="136">
        <v>139468</v>
      </c>
      <c r="BU376" s="136">
        <v>146682</v>
      </c>
      <c r="BV376" s="136">
        <v>142400</v>
      </c>
      <c r="BW376" s="136">
        <v>136126</v>
      </c>
      <c r="BX376" s="136">
        <v>124418</v>
      </c>
      <c r="BY376" s="136">
        <v>137236</v>
      </c>
      <c r="BZ376" s="136">
        <v>135302</v>
      </c>
      <c r="CA376" s="136">
        <v>130018</v>
      </c>
      <c r="CB376" s="136">
        <v>111996</v>
      </c>
      <c r="CC376" s="136">
        <v>104797</v>
      </c>
      <c r="CD376" s="136">
        <v>112706</v>
      </c>
      <c r="CE376" s="136">
        <v>114238</v>
      </c>
      <c r="CF376" s="136">
        <v>104256</v>
      </c>
      <c r="CG376" s="136">
        <v>93273</v>
      </c>
      <c r="CH376" s="136">
        <v>113324</v>
      </c>
      <c r="CI376" s="136">
        <v>94151</v>
      </c>
      <c r="CJ376" s="136">
        <v>111204</v>
      </c>
      <c r="CK376" s="136">
        <v>109969</v>
      </c>
      <c r="CL376" s="136">
        <v>109908</v>
      </c>
      <c r="CM376" s="136">
        <v>114249</v>
      </c>
      <c r="CN376" s="136">
        <v>92393</v>
      </c>
      <c r="CO376" s="136">
        <v>94229</v>
      </c>
    </row>
    <row r="377" spans="63:93" ht="19" customHeight="1" x14ac:dyDescent="0.35">
      <c r="BK377" s="1" t="str">
        <f t="shared" si="72"/>
        <v>CEMIG GT|ATIVO|CIRCULANTE|Tributos a recuperar</v>
      </c>
      <c r="BM377" s="392"/>
      <c r="BO377" s="6" t="s">
        <v>276</v>
      </c>
      <c r="BP377" s="21">
        <v>64625</v>
      </c>
      <c r="BQ377" s="21">
        <v>69227</v>
      </c>
      <c r="BR377" s="21">
        <v>55934</v>
      </c>
      <c r="BS377" s="21">
        <v>38654</v>
      </c>
      <c r="BT377" s="136">
        <v>34355</v>
      </c>
      <c r="BU377" s="136">
        <v>34934</v>
      </c>
      <c r="BV377" s="136">
        <v>33696</v>
      </c>
      <c r="BW377" s="136">
        <v>35933</v>
      </c>
      <c r="BX377" s="136">
        <v>36908</v>
      </c>
      <c r="BY377" s="136">
        <v>38938</v>
      </c>
      <c r="BZ377" s="136">
        <v>44609</v>
      </c>
      <c r="CA377" s="136">
        <v>39308</v>
      </c>
      <c r="CB377" s="136">
        <v>41939</v>
      </c>
      <c r="CC377" s="136">
        <v>40715</v>
      </c>
      <c r="CD377" s="136">
        <v>51896</v>
      </c>
      <c r="CE377" s="136">
        <v>61622</v>
      </c>
      <c r="CF377" s="136">
        <v>30362</v>
      </c>
      <c r="CG377" s="136">
        <v>29424</v>
      </c>
      <c r="CH377" s="136">
        <v>31874</v>
      </c>
      <c r="CI377" s="136">
        <v>35566</v>
      </c>
      <c r="CJ377" s="136">
        <v>162725</v>
      </c>
      <c r="CK377" s="136">
        <v>234598</v>
      </c>
      <c r="CL377" s="136">
        <v>347801</v>
      </c>
      <c r="CM377" s="136">
        <v>531145</v>
      </c>
      <c r="CN377" s="136">
        <v>396758</v>
      </c>
      <c r="CO377" s="136">
        <v>53104</v>
      </c>
    </row>
    <row r="378" spans="63:93" ht="19" customHeight="1" x14ac:dyDescent="0.35">
      <c r="BK378" s="1" t="str">
        <f t="shared" si="72"/>
        <v>CEMIG GT|ATIVO|CIRCULANTE|Imposto de renda e contribuição social a recuperar</v>
      </c>
      <c r="BM378" s="392"/>
      <c r="BO378" s="6" t="s">
        <v>277</v>
      </c>
      <c r="BP378" s="21">
        <v>49602</v>
      </c>
      <c r="BQ378" s="21">
        <v>40112</v>
      </c>
      <c r="BR378" s="21">
        <v>118761</v>
      </c>
      <c r="BS378" s="21">
        <v>40046</v>
      </c>
      <c r="BT378" s="136">
        <v>18161</v>
      </c>
      <c r="BU378" s="136">
        <v>6933</v>
      </c>
      <c r="BV378" s="136">
        <v>6080</v>
      </c>
      <c r="BW378" s="136">
        <v>731</v>
      </c>
      <c r="BX378" s="136">
        <v>6830</v>
      </c>
      <c r="BY378" s="136">
        <v>228495</v>
      </c>
      <c r="BZ378" s="136">
        <v>427108</v>
      </c>
      <c r="CA378" s="136">
        <v>629107</v>
      </c>
      <c r="CB378" s="136">
        <v>768437</v>
      </c>
      <c r="CC378" s="136">
        <v>742261</v>
      </c>
      <c r="CD378" s="136">
        <v>774649</v>
      </c>
      <c r="CE378" s="136">
        <v>775254</v>
      </c>
      <c r="CF378" s="136">
        <v>772816</v>
      </c>
      <c r="CG378" s="136">
        <v>423790</v>
      </c>
      <c r="CH378" s="136">
        <v>652515</v>
      </c>
      <c r="CI378" s="136">
        <v>657047</v>
      </c>
      <c r="CJ378" s="136">
        <v>323172</v>
      </c>
      <c r="CK378" s="136">
        <v>469531</v>
      </c>
      <c r="CL378" s="136">
        <v>467700</v>
      </c>
      <c r="CM378" s="136">
        <v>408806</v>
      </c>
      <c r="CN378" s="136">
        <v>406004</v>
      </c>
      <c r="CO378" s="136">
        <v>370127</v>
      </c>
    </row>
    <row r="379" spans="63:93" ht="19" customHeight="1" x14ac:dyDescent="0.35">
      <c r="BK379" s="1" t="str">
        <f t="shared" si="72"/>
        <v>CEMIG GT|ATIVO|CIRCULANTE|Dividendos a receber</v>
      </c>
      <c r="BM379" s="392"/>
      <c r="BO379" s="6" t="s">
        <v>279</v>
      </c>
      <c r="BP379" s="21">
        <v>3345</v>
      </c>
      <c r="BQ379" s="21">
        <v>9122</v>
      </c>
      <c r="BR379" s="21">
        <v>3345</v>
      </c>
      <c r="BS379" s="21">
        <v>0</v>
      </c>
      <c r="BT379" s="136">
        <v>3964</v>
      </c>
      <c r="BU379" s="136">
        <v>9609</v>
      </c>
      <c r="BV379" s="136">
        <v>38</v>
      </c>
      <c r="BW379" s="136">
        <v>38</v>
      </c>
      <c r="BX379" s="136">
        <v>55996</v>
      </c>
      <c r="BY379" s="136">
        <v>88246</v>
      </c>
      <c r="BZ379" s="136">
        <v>0</v>
      </c>
      <c r="CA379" s="136">
        <v>68464</v>
      </c>
      <c r="CB379" s="136">
        <v>68464</v>
      </c>
      <c r="CC379" s="136">
        <v>151829</v>
      </c>
      <c r="CD379" s="136">
        <v>140250</v>
      </c>
      <c r="CE379" s="136">
        <v>0</v>
      </c>
      <c r="CF379" s="136">
        <v>125140</v>
      </c>
      <c r="CG379" s="136">
        <v>127151</v>
      </c>
      <c r="CH379" s="136">
        <v>232098</v>
      </c>
      <c r="CI379" s="136">
        <v>16078</v>
      </c>
      <c r="CJ379" s="136">
        <v>40028</v>
      </c>
      <c r="CK379" s="136">
        <v>137170</v>
      </c>
      <c r="CL379" s="136">
        <v>117110</v>
      </c>
      <c r="CM379" s="136">
        <v>13047</v>
      </c>
      <c r="CN379" s="136">
        <v>26192</v>
      </c>
      <c r="CO379" s="136">
        <v>115104</v>
      </c>
    </row>
    <row r="380" spans="63:93" ht="19" customHeight="1" x14ac:dyDescent="0.35">
      <c r="BK380" s="1" t="str">
        <f t="shared" si="72"/>
        <v>CEMIG GT|ATIVO|CIRCULANTE|Ativo financeiro da concessão</v>
      </c>
      <c r="BM380" s="392"/>
      <c r="BO380" s="6" t="s">
        <v>330</v>
      </c>
      <c r="BP380" s="79">
        <v>359631</v>
      </c>
      <c r="BQ380" s="79">
        <v>350042</v>
      </c>
      <c r="BR380" s="79">
        <v>346505</v>
      </c>
      <c r="BS380" s="21">
        <v>345230</v>
      </c>
      <c r="BT380" s="136">
        <v>344280</v>
      </c>
      <c r="BU380" s="136">
        <v>336807</v>
      </c>
      <c r="BV380" s="136">
        <v>330427</v>
      </c>
      <c r="BW380" s="136">
        <v>327904</v>
      </c>
      <c r="BX380" s="136">
        <v>326934</v>
      </c>
      <c r="BY380" s="136">
        <v>325711</v>
      </c>
      <c r="BZ380" s="136">
        <v>320444</v>
      </c>
      <c r="CA380" s="136">
        <v>318949</v>
      </c>
      <c r="CB380" s="136">
        <v>318616</v>
      </c>
      <c r="CC380" s="136">
        <v>314504</v>
      </c>
      <c r="CD380" s="136">
        <v>309347</v>
      </c>
      <c r="CE380" s="136">
        <v>308010</v>
      </c>
      <c r="CF380" s="136">
        <v>306865</v>
      </c>
      <c r="CG380" s="136">
        <v>291879</v>
      </c>
      <c r="CH380" s="136">
        <v>283233</v>
      </c>
      <c r="CI380" s="136">
        <v>277322</v>
      </c>
      <c r="CJ380" s="136">
        <v>274645</v>
      </c>
      <c r="CK380" s="136">
        <v>265354</v>
      </c>
      <c r="CL380" s="136">
        <v>258588</v>
      </c>
      <c r="CM380" s="136">
        <v>580988</v>
      </c>
      <c r="CN380" s="136">
        <v>582067</v>
      </c>
      <c r="CO380" s="136">
        <v>444197</v>
      </c>
    </row>
    <row r="381" spans="63:93" ht="19" customHeight="1" x14ac:dyDescent="0.35">
      <c r="BK381" s="1" t="str">
        <f t="shared" si="72"/>
        <v>CEMIG GT|ATIVO|CIRCULANTE|Ativos de contrato</v>
      </c>
      <c r="BM381" s="392"/>
      <c r="BO381" s="6" t="s">
        <v>275</v>
      </c>
      <c r="BP381" s="21">
        <v>1286936</v>
      </c>
      <c r="BQ381" s="21">
        <v>1123586</v>
      </c>
      <c r="BR381" s="21">
        <v>1106077</v>
      </c>
      <c r="BS381" s="21">
        <v>1115173</v>
      </c>
      <c r="BT381" s="136">
        <v>1100756</v>
      </c>
      <c r="BU381" s="136">
        <v>1170263</v>
      </c>
      <c r="BV381" s="136">
        <v>1131035</v>
      </c>
      <c r="BW381" s="136">
        <v>1120601</v>
      </c>
      <c r="BX381" s="136">
        <v>880355</v>
      </c>
      <c r="BY381" s="136">
        <v>851637</v>
      </c>
      <c r="BZ381" s="136">
        <v>841371</v>
      </c>
      <c r="CA381" s="136">
        <v>822987</v>
      </c>
      <c r="CB381" s="136">
        <v>778237</v>
      </c>
      <c r="CC381" s="136">
        <v>750951</v>
      </c>
      <c r="CD381" s="136">
        <v>720032</v>
      </c>
      <c r="CE381" s="136">
        <v>696010</v>
      </c>
      <c r="CF381" s="136">
        <v>667666</v>
      </c>
      <c r="CG381" s="136">
        <v>630635</v>
      </c>
      <c r="CH381" s="136">
        <v>592337</v>
      </c>
      <c r="CI381" s="136">
        <v>533400</v>
      </c>
      <c r="CJ381" s="136">
        <v>514731</v>
      </c>
      <c r="CK381" s="136">
        <v>751918</v>
      </c>
      <c r="CL381" s="136">
        <v>718430</v>
      </c>
      <c r="CM381" s="136">
        <v>229394</v>
      </c>
      <c r="CN381" s="136">
        <v>159016</v>
      </c>
      <c r="CO381" s="136">
        <v>166220</v>
      </c>
    </row>
    <row r="382" spans="63:93" ht="19" customHeight="1" x14ac:dyDescent="0.35">
      <c r="BK382" s="1" t="str">
        <f t="shared" si="72"/>
        <v>CEMIG GT|ATIVO|CIRCULANTE|Adiantamento a fornecedores</v>
      </c>
      <c r="BO382" s="6" t="s">
        <v>331</v>
      </c>
      <c r="BP382" s="21">
        <v>0</v>
      </c>
      <c r="BQ382" s="21">
        <v>0</v>
      </c>
      <c r="BR382" s="21">
        <v>0</v>
      </c>
      <c r="BS382" s="21">
        <v>0</v>
      </c>
      <c r="BT382" s="136">
        <v>0</v>
      </c>
      <c r="BU382" s="136">
        <v>0</v>
      </c>
      <c r="BV382" s="136">
        <v>0</v>
      </c>
      <c r="BW382" s="136">
        <v>0</v>
      </c>
      <c r="BX382" s="136">
        <v>0</v>
      </c>
      <c r="BY382" s="136">
        <v>0</v>
      </c>
      <c r="BZ382" s="136">
        <v>0</v>
      </c>
      <c r="CA382" s="136">
        <v>0</v>
      </c>
      <c r="CB382" s="136">
        <v>0</v>
      </c>
      <c r="CC382" s="136">
        <v>0</v>
      </c>
      <c r="CD382" s="136">
        <v>0</v>
      </c>
      <c r="CE382" s="136">
        <v>0</v>
      </c>
      <c r="CF382" s="136">
        <v>0</v>
      </c>
      <c r="CG382" s="136">
        <v>0</v>
      </c>
      <c r="CH382" s="136">
        <v>0</v>
      </c>
      <c r="CI382" s="136">
        <v>0</v>
      </c>
      <c r="CJ382" s="136">
        <v>0</v>
      </c>
      <c r="CK382" s="136">
        <v>0</v>
      </c>
      <c r="CL382" s="136">
        <v>0</v>
      </c>
      <c r="CM382" s="136">
        <v>0</v>
      </c>
      <c r="CN382" s="136">
        <v>0</v>
      </c>
      <c r="CO382" s="136">
        <v>30116</v>
      </c>
    </row>
    <row r="383" spans="63:93" ht="19" customHeight="1" x14ac:dyDescent="0.35">
      <c r="BK383" s="1" t="str">
        <f t="shared" si="72"/>
        <v>CEMIG GT|ATIVO|CIRCULANTE|Ativos classificados como mantidos para venda</v>
      </c>
      <c r="BO383" s="6" t="s">
        <v>284</v>
      </c>
      <c r="BP383" s="21">
        <v>0</v>
      </c>
      <c r="BQ383" s="21">
        <v>0</v>
      </c>
      <c r="BR383" s="21">
        <v>0</v>
      </c>
      <c r="BS383" s="21">
        <v>63794</v>
      </c>
      <c r="BT383" s="136">
        <v>57114</v>
      </c>
      <c r="BU383" s="136">
        <v>57614</v>
      </c>
      <c r="BV383" s="136">
        <v>56864</v>
      </c>
      <c r="BW383" s="136">
        <v>38959</v>
      </c>
      <c r="BX383" s="136">
        <v>1157394</v>
      </c>
      <c r="BY383" s="136">
        <v>1118565</v>
      </c>
      <c r="BZ383" s="136">
        <v>57866</v>
      </c>
      <c r="CA383" s="136">
        <v>408422</v>
      </c>
      <c r="CB383" s="136">
        <v>362423</v>
      </c>
      <c r="CC383" s="136">
        <v>7212</v>
      </c>
      <c r="CD383" s="136">
        <v>0</v>
      </c>
      <c r="CE383" s="136">
        <v>0</v>
      </c>
      <c r="CF383" s="136">
        <v>0</v>
      </c>
      <c r="CG383" s="136">
        <v>0</v>
      </c>
      <c r="CH383" s="136">
        <v>0</v>
      </c>
      <c r="CI383" s="136">
        <v>0</v>
      </c>
      <c r="CJ383" s="136">
        <v>0</v>
      </c>
      <c r="CK383" s="136">
        <v>0</v>
      </c>
      <c r="CL383" s="136">
        <v>0</v>
      </c>
      <c r="CM383" s="136">
        <v>0</v>
      </c>
      <c r="CN383" s="136">
        <v>0</v>
      </c>
      <c r="CO383" s="136">
        <v>0</v>
      </c>
    </row>
    <row r="384" spans="63:93" ht="19" customHeight="1" x14ac:dyDescent="0.35">
      <c r="BK384" s="1" t="str">
        <f t="shared" si="72"/>
        <v>CEMIG GT|ATIVO|CIRCULANTE|Prêmio repactuação risco hidrológico</v>
      </c>
      <c r="BO384" s="6" t="s">
        <v>332</v>
      </c>
      <c r="BP384" s="21">
        <v>0</v>
      </c>
      <c r="BQ384" s="21">
        <v>0</v>
      </c>
      <c r="BR384" s="21">
        <v>0</v>
      </c>
      <c r="BS384" s="21">
        <v>0</v>
      </c>
      <c r="BT384" s="136">
        <v>0</v>
      </c>
      <c r="BU384" s="136">
        <v>0</v>
      </c>
      <c r="BV384" s="136">
        <v>0</v>
      </c>
      <c r="BW384" s="136">
        <v>0</v>
      </c>
      <c r="BX384" s="136">
        <v>0</v>
      </c>
      <c r="BY384" s="136">
        <v>0</v>
      </c>
      <c r="BZ384" s="136">
        <v>0</v>
      </c>
      <c r="CA384" s="136">
        <v>0</v>
      </c>
      <c r="CB384" s="136">
        <v>0</v>
      </c>
      <c r="CC384" s="136">
        <v>0</v>
      </c>
      <c r="CD384" s="136">
        <v>0</v>
      </c>
      <c r="CE384" s="136">
        <v>0</v>
      </c>
      <c r="CF384" s="136">
        <v>0</v>
      </c>
      <c r="CG384" s="136">
        <v>0</v>
      </c>
      <c r="CH384" s="136">
        <v>0</v>
      </c>
      <c r="CI384" s="136">
        <v>0</v>
      </c>
      <c r="CJ384" s="136">
        <v>0</v>
      </c>
      <c r="CK384" s="136">
        <v>0</v>
      </c>
      <c r="CL384" s="136">
        <v>0</v>
      </c>
      <c r="CM384" s="136">
        <v>0</v>
      </c>
      <c r="CN384" s="136">
        <v>0</v>
      </c>
      <c r="CO384" s="136">
        <v>16813</v>
      </c>
    </row>
    <row r="385" spans="63:93" ht="19" customHeight="1" x14ac:dyDescent="0.35">
      <c r="BK385" s="1" t="str">
        <f t="shared" si="72"/>
        <v>CEMIG GT|ATIVO|CIRCULANTE|Instrumentos financeiros derivativos</v>
      </c>
      <c r="BO385" s="6" t="s">
        <v>278</v>
      </c>
      <c r="BP385" s="21">
        <v>0</v>
      </c>
      <c r="BQ385" s="21">
        <v>0</v>
      </c>
      <c r="BR385" s="21">
        <v>0</v>
      </c>
      <c r="BS385" s="21">
        <v>0</v>
      </c>
      <c r="BT385" s="136"/>
      <c r="BU385" s="136">
        <v>0</v>
      </c>
      <c r="BV385" s="136">
        <v>0</v>
      </c>
      <c r="BW385" s="136">
        <v>499910</v>
      </c>
      <c r="BX385" s="136">
        <v>486625</v>
      </c>
      <c r="BY385" s="136">
        <v>410083</v>
      </c>
      <c r="BZ385" s="136">
        <v>368051</v>
      </c>
      <c r="CA385" s="136">
        <v>0</v>
      </c>
      <c r="CB385" s="136">
        <v>0</v>
      </c>
      <c r="CC385" s="136">
        <v>0</v>
      </c>
      <c r="CD385" s="136">
        <v>0</v>
      </c>
      <c r="CE385" s="136">
        <v>68609</v>
      </c>
      <c r="CF385" s="136">
        <v>0</v>
      </c>
      <c r="CG385" s="136">
        <v>0</v>
      </c>
      <c r="CH385" s="136">
        <v>0</v>
      </c>
      <c r="CI385" s="136">
        <v>152802</v>
      </c>
      <c r="CJ385" s="136">
        <v>160784</v>
      </c>
      <c r="CK385" s="136">
        <v>512050</v>
      </c>
      <c r="CL385" s="136">
        <v>522579</v>
      </c>
      <c r="CM385" s="136">
        <v>619119</v>
      </c>
      <c r="CN385" s="136">
        <v>589555</v>
      </c>
      <c r="CO385" s="136">
        <v>485006</v>
      </c>
    </row>
    <row r="386" spans="63:93" ht="19" customHeight="1" x14ac:dyDescent="0.35">
      <c r="BK386" s="1" t="str">
        <f t="shared" si="72"/>
        <v>CEMIG GT|ATIVO|CIRCULANTE|Outros ativos</v>
      </c>
      <c r="BM386" s="390"/>
      <c r="BO386" s="6" t="s">
        <v>283</v>
      </c>
      <c r="BP386" s="21">
        <v>319255</v>
      </c>
      <c r="BQ386" s="21">
        <v>305648</v>
      </c>
      <c r="BR386" s="21">
        <v>264278</v>
      </c>
      <c r="BS386" s="21">
        <v>186852</v>
      </c>
      <c r="BT386" s="136">
        <v>175531</v>
      </c>
      <c r="BU386" s="136">
        <v>164944</v>
      </c>
      <c r="BV386" s="136">
        <v>139999</v>
      </c>
      <c r="BW386" s="136">
        <v>129584</v>
      </c>
      <c r="BX386" s="136">
        <v>119618</v>
      </c>
      <c r="BY386" s="136">
        <v>121547</v>
      </c>
      <c r="BZ386" s="136">
        <v>115810</v>
      </c>
      <c r="CA386" s="136">
        <v>359581</v>
      </c>
      <c r="CB386" s="136">
        <v>347941</v>
      </c>
      <c r="CC386" s="136">
        <v>302682</v>
      </c>
      <c r="CD386" s="136">
        <v>260733</v>
      </c>
      <c r="CE386" s="136">
        <v>214656</v>
      </c>
      <c r="CF386" s="136">
        <v>92375</v>
      </c>
      <c r="CG386" s="136">
        <v>122568</v>
      </c>
      <c r="CH386" s="136">
        <v>79924</v>
      </c>
      <c r="CI386" s="136">
        <v>101918</v>
      </c>
      <c r="CJ386" s="136">
        <v>283196</v>
      </c>
      <c r="CK386" s="136">
        <v>139780</v>
      </c>
      <c r="CL386" s="136">
        <v>134942</v>
      </c>
      <c r="CM386" s="136">
        <v>137364</v>
      </c>
      <c r="CN386" s="136">
        <v>130219</v>
      </c>
      <c r="CO386" s="136">
        <v>107510</v>
      </c>
    </row>
    <row r="387" spans="63:93" ht="23.15" customHeight="1" x14ac:dyDescent="0.35">
      <c r="BK387" s="81" t="str">
        <f>BO387</f>
        <v>NÃO CIRCULANTE</v>
      </c>
      <c r="BL387" s="81"/>
      <c r="BO387" s="4" t="s">
        <v>238</v>
      </c>
      <c r="BP387" s="22">
        <f t="shared" ref="BP387:BQ387" si="73">IFERROR(SUM(BP388,BP400:BP403),0)</f>
        <v>16123165</v>
      </c>
      <c r="BQ387" s="22">
        <f t="shared" si="73"/>
        <v>15987111</v>
      </c>
      <c r="BR387" s="22">
        <f>IFERROR(SUM(BR388,BR400:BR403),0)</f>
        <v>15989704</v>
      </c>
      <c r="BS387" s="22">
        <f t="shared" ref="BS387:CN387" si="74">IFERROR(SUM(BS388,BS400:BS403),0)</f>
        <v>19246938</v>
      </c>
      <c r="BT387" s="22">
        <f t="shared" si="74"/>
        <v>19107308</v>
      </c>
      <c r="BU387" s="22">
        <f t="shared" si="74"/>
        <v>19168336</v>
      </c>
      <c r="BV387" s="22">
        <f t="shared" si="74"/>
        <v>19383763</v>
      </c>
      <c r="BW387" s="22">
        <f t="shared" si="74"/>
        <v>19460852</v>
      </c>
      <c r="BX387" s="22">
        <f t="shared" si="74"/>
        <v>18017273</v>
      </c>
      <c r="BY387" s="22">
        <f t="shared" si="74"/>
        <v>17993446</v>
      </c>
      <c r="BZ387" s="22">
        <f t="shared" si="74"/>
        <v>20480931</v>
      </c>
      <c r="CA387" s="22">
        <f t="shared" si="74"/>
        <v>20630129</v>
      </c>
      <c r="CB387" s="22">
        <f t="shared" si="74"/>
        <v>20105934</v>
      </c>
      <c r="CC387" s="22">
        <f t="shared" si="74"/>
        <v>20810255</v>
      </c>
      <c r="CD387" s="22">
        <f t="shared" si="74"/>
        <v>20703149</v>
      </c>
      <c r="CE387" s="22">
        <f t="shared" si="74"/>
        <v>21000836</v>
      </c>
      <c r="CF387" s="22">
        <f t="shared" si="74"/>
        <v>21387121</v>
      </c>
      <c r="CG387" s="22">
        <f t="shared" si="74"/>
        <v>21365304</v>
      </c>
      <c r="CH387" s="22">
        <f t="shared" si="74"/>
        <v>21365072</v>
      </c>
      <c r="CI387" s="22">
        <f t="shared" si="74"/>
        <v>21869836</v>
      </c>
      <c r="CJ387" s="22">
        <f t="shared" si="74"/>
        <v>21426894</v>
      </c>
      <c r="CK387" s="22">
        <f t="shared" si="74"/>
        <v>21251680</v>
      </c>
      <c r="CL387" s="22">
        <f t="shared" si="74"/>
        <v>21513154</v>
      </c>
      <c r="CM387" s="22">
        <f t="shared" si="74"/>
        <v>21380866</v>
      </c>
      <c r="CN387" s="22">
        <f t="shared" si="74"/>
        <v>21780612</v>
      </c>
      <c r="CO387" s="22">
        <f>IFERROR(SUM(CO388,CO400:CO403),0)</f>
        <v>21825556</v>
      </c>
    </row>
    <row r="388" spans="63:93" ht="20.149999999999999" customHeight="1" x14ac:dyDescent="0.35">
      <c r="BK388" s="81" t="str">
        <f>BO388</f>
        <v>Realizável a longo prazo</v>
      </c>
      <c r="BO388" s="7" t="s">
        <v>239</v>
      </c>
      <c r="BP388" s="23">
        <f t="shared" ref="BP388:BQ388" si="75">IFERROR(SUM(BP389:BP399),0)</f>
        <v>9577094</v>
      </c>
      <c r="BQ388" s="23">
        <f t="shared" si="75"/>
        <v>9513456</v>
      </c>
      <c r="BR388" s="23">
        <f>IFERROR(SUM(BR389:BR399),0)</f>
        <v>9465312</v>
      </c>
      <c r="BS388" s="23">
        <f t="shared" ref="BS388" si="76">IFERROR(SUM(BS389:BS401),0)</f>
        <v>13848702</v>
      </c>
      <c r="BT388" s="23">
        <f t="shared" ref="BT388" si="77">IFERROR(SUM(BT389:BT401),0)</f>
        <v>13864356</v>
      </c>
      <c r="BU388" s="23">
        <f t="shared" ref="BU388" si="78">IFERROR(SUM(BU389:BU401),0)</f>
        <v>13914395</v>
      </c>
      <c r="BV388" s="23">
        <f t="shared" ref="BV388" si="79">IFERROR(SUM(BV389:BV401),0)</f>
        <v>14013797</v>
      </c>
      <c r="BW388" s="23">
        <f t="shared" ref="BW388" si="80">IFERROR(SUM(BW389:BW401),0)</f>
        <v>14005790</v>
      </c>
      <c r="BX388" s="23">
        <f t="shared" ref="BX388" si="81">IFERROR(SUM(BX389:BX401),0)</f>
        <v>12525847</v>
      </c>
      <c r="BY388" s="23">
        <f t="shared" ref="BY388" si="82">IFERROR(SUM(BY389:BY401),0)</f>
        <v>12446770</v>
      </c>
      <c r="BZ388" s="23">
        <f t="shared" ref="BZ388" si="83">IFERROR(SUM(BZ389:BZ401),0)</f>
        <v>13627468</v>
      </c>
      <c r="CA388" s="23">
        <f t="shared" ref="CA388" si="84">IFERROR(SUM(CA389:CA401),0)</f>
        <v>13836184</v>
      </c>
      <c r="CB388" s="23">
        <f t="shared" ref="CB388" si="85">IFERROR(SUM(CB389:CB401),0)</f>
        <v>13550909</v>
      </c>
      <c r="CC388" s="23">
        <f t="shared" ref="CC388" si="86">IFERROR(SUM(CC389:CC401),0)</f>
        <v>14073886</v>
      </c>
      <c r="CD388" s="23">
        <f t="shared" ref="CD388" si="87">IFERROR(SUM(CD389:CD401),0)</f>
        <v>13960011</v>
      </c>
      <c r="CE388" s="23">
        <f t="shared" ref="CE388" si="88">IFERROR(SUM(CE389:CE401),0)</f>
        <v>14074125</v>
      </c>
      <c r="CF388" s="23">
        <f t="shared" ref="CF388" si="89">IFERROR(SUM(CF389:CF401),0)</f>
        <v>14413867</v>
      </c>
      <c r="CG388" s="23">
        <f t="shared" ref="CG388" si="90">IFERROR(SUM(CG389:CG401),0)</f>
        <v>14360652</v>
      </c>
      <c r="CH388" s="23">
        <f t="shared" ref="CH388" si="91">IFERROR(SUM(CH389:CH401),0)</f>
        <v>14462578</v>
      </c>
      <c r="CI388" s="23">
        <f t="shared" ref="CI388" si="92">IFERROR(SUM(CI389:CI401),0)</f>
        <v>14499162</v>
      </c>
      <c r="CJ388" s="23">
        <f t="shared" ref="CJ388" si="93">IFERROR(SUM(CJ389:CJ401),0)</f>
        <v>14327876</v>
      </c>
      <c r="CK388" s="23">
        <f t="shared" ref="CK388" si="94">IFERROR(SUM(CK389:CK401),0)</f>
        <v>14934037</v>
      </c>
      <c r="CL388" s="23">
        <f t="shared" ref="CL388" si="95">IFERROR(SUM(CL389:CL401),0)</f>
        <v>15153304</v>
      </c>
      <c r="CM388" s="23">
        <f t="shared" ref="CM388" si="96">IFERROR(SUM(CM389:CM401),0)</f>
        <v>14815139</v>
      </c>
      <c r="CN388" s="23">
        <f t="shared" ref="CN388" si="97">IFERROR(SUM(CN389:CN401),0)</f>
        <v>15153436</v>
      </c>
      <c r="CO388" s="23">
        <f t="shared" ref="CO388" si="98">IFERROR(SUM(CO389:CO401),0)</f>
        <v>15153585</v>
      </c>
    </row>
    <row r="389" spans="63:93" ht="19" customHeight="1" x14ac:dyDescent="0.35">
      <c r="BK389" s="1" t="str">
        <f t="shared" ref="BK389:BK399" si="99">_xlfn.CONCAT($BO$369,"|",$BO$371,"|",$BO$387,"|",BO389)</f>
        <v>CEMIG GT|ATIVO|NÃO CIRCULANTE|Títulos e valores mobiliários</v>
      </c>
      <c r="BO389" s="6" t="s">
        <v>272</v>
      </c>
      <c r="BP389" s="21">
        <v>0</v>
      </c>
      <c r="BQ389" s="21">
        <v>0</v>
      </c>
      <c r="BR389" s="21">
        <v>0</v>
      </c>
      <c r="BS389" s="21">
        <v>0</v>
      </c>
      <c r="BT389" s="136">
        <v>17287</v>
      </c>
      <c r="BU389" s="136">
        <v>28143</v>
      </c>
      <c r="BV389" s="136">
        <v>84529</v>
      </c>
      <c r="BW389" s="136">
        <v>73242</v>
      </c>
      <c r="BX389" s="136">
        <v>46280</v>
      </c>
      <c r="BY389" s="136">
        <v>37691</v>
      </c>
      <c r="BZ389" s="136">
        <v>0</v>
      </c>
      <c r="CA389" s="136">
        <v>0</v>
      </c>
      <c r="CB389" s="136">
        <v>2521</v>
      </c>
      <c r="CC389" s="136">
        <v>6073</v>
      </c>
      <c r="CD389" s="136">
        <v>5105</v>
      </c>
      <c r="CE389" s="136">
        <v>5606</v>
      </c>
      <c r="CF389" s="136">
        <v>17131</v>
      </c>
      <c r="CG389" s="136">
        <v>131998</v>
      </c>
      <c r="CH389" s="136">
        <v>194110</v>
      </c>
      <c r="CI389" s="136">
        <v>201418</v>
      </c>
      <c r="CJ389" s="136">
        <v>310547</v>
      </c>
      <c r="CK389" s="136">
        <v>236966</v>
      </c>
      <c r="CL389" s="136">
        <v>254481</v>
      </c>
      <c r="CM389" s="136">
        <v>143218</v>
      </c>
      <c r="CN389" s="136">
        <v>79182</v>
      </c>
      <c r="CO389" s="136">
        <v>37884</v>
      </c>
    </row>
    <row r="390" spans="63:93" ht="19" customHeight="1" x14ac:dyDescent="0.35">
      <c r="BK390" s="1" t="str">
        <f t="shared" si="99"/>
        <v>CEMIG GT|ATIVO|NÃO CIRCULANTE|Consumidores e revendedores</v>
      </c>
      <c r="BN390" s="392"/>
      <c r="BO390" s="6" t="s">
        <v>316</v>
      </c>
      <c r="BP390" s="21">
        <v>16</v>
      </c>
      <c r="BQ390" s="21">
        <v>151</v>
      </c>
      <c r="BR390" s="21">
        <v>482</v>
      </c>
      <c r="BS390" s="21">
        <v>894</v>
      </c>
      <c r="BT390" s="136">
        <v>1134</v>
      </c>
      <c r="BU390" s="136">
        <v>1218</v>
      </c>
      <c r="BV390" s="136">
        <v>1604</v>
      </c>
      <c r="BW390" s="136">
        <v>2074</v>
      </c>
      <c r="BX390" s="136">
        <v>2450</v>
      </c>
      <c r="BY390" s="136">
        <v>2830</v>
      </c>
      <c r="BZ390" s="136">
        <v>2257</v>
      </c>
      <c r="CA390" s="136">
        <v>2493</v>
      </c>
      <c r="CB390" s="136">
        <v>2690</v>
      </c>
      <c r="CC390" s="136">
        <v>4017</v>
      </c>
      <c r="CD390" s="136">
        <v>63</v>
      </c>
      <c r="CE390" s="136">
        <v>877</v>
      </c>
      <c r="CF390" s="136">
        <v>1534</v>
      </c>
      <c r="CG390" s="136">
        <v>2348</v>
      </c>
      <c r="CH390" s="136">
        <v>3393</v>
      </c>
      <c r="CI390" s="136">
        <v>3929</v>
      </c>
      <c r="CJ390" s="136">
        <v>9363</v>
      </c>
      <c r="CK390" s="136">
        <v>4715</v>
      </c>
      <c r="CL390" s="136">
        <v>6774</v>
      </c>
      <c r="CM390" s="136">
        <v>8518</v>
      </c>
      <c r="CN390" s="136">
        <v>2973</v>
      </c>
      <c r="CO390" s="136">
        <v>3524</v>
      </c>
    </row>
    <row r="391" spans="63:93" ht="19" customHeight="1" x14ac:dyDescent="0.35">
      <c r="BK391" s="1" t="str">
        <f t="shared" si="99"/>
        <v>CEMIG GT|ATIVO|NÃO CIRCULANTE|Imposto de renda e contribuição social diferidos</v>
      </c>
      <c r="BM391" s="390"/>
      <c r="BN391" s="392"/>
      <c r="BO391" s="6" t="s">
        <v>16</v>
      </c>
      <c r="BP391" s="21">
        <v>9108</v>
      </c>
      <c r="BQ391" s="21">
        <v>8764</v>
      </c>
      <c r="BR391" s="21">
        <v>8493</v>
      </c>
      <c r="BS391" s="21">
        <v>8403</v>
      </c>
      <c r="BT391" s="136">
        <v>8237</v>
      </c>
      <c r="BU391" s="136">
        <v>11069</v>
      </c>
      <c r="BV391" s="136">
        <v>10627</v>
      </c>
      <c r="BW391" s="136">
        <v>10254</v>
      </c>
      <c r="BX391" s="136">
        <v>9851</v>
      </c>
      <c r="BY391" s="136">
        <v>9485</v>
      </c>
      <c r="BZ391" s="136">
        <v>9895</v>
      </c>
      <c r="CA391" s="136">
        <v>0</v>
      </c>
      <c r="CB391" s="136">
        <v>0</v>
      </c>
      <c r="CC391" s="136">
        <v>0</v>
      </c>
      <c r="CD391" s="136">
        <v>0</v>
      </c>
      <c r="CE391" s="136">
        <v>0</v>
      </c>
      <c r="CF391" s="136">
        <v>0</v>
      </c>
      <c r="CG391" s="136">
        <v>0</v>
      </c>
      <c r="CH391" s="136">
        <v>0</v>
      </c>
      <c r="CI391" s="136">
        <v>10</v>
      </c>
      <c r="CJ391" s="136">
        <v>267</v>
      </c>
      <c r="CK391" s="136">
        <v>8162</v>
      </c>
      <c r="CL391" s="136">
        <v>10969</v>
      </c>
      <c r="CM391" s="136">
        <v>6875</v>
      </c>
      <c r="CN391" s="136">
        <v>7102</v>
      </c>
      <c r="CO391" s="136">
        <v>5143</v>
      </c>
    </row>
    <row r="392" spans="63:93" ht="19" customHeight="1" x14ac:dyDescent="0.35">
      <c r="BK392" s="1" t="str">
        <f t="shared" si="99"/>
        <v>CEMIG GT|ATIVO|NÃO CIRCULANTE|Tributos a recuperar</v>
      </c>
      <c r="BM392" s="392"/>
      <c r="BN392" s="392"/>
      <c r="BO392" s="6" t="s">
        <v>276</v>
      </c>
      <c r="BP392" s="21">
        <v>59544</v>
      </c>
      <c r="BQ392" s="21">
        <v>69356</v>
      </c>
      <c r="BR392" s="21">
        <v>70115</v>
      </c>
      <c r="BS392" s="21">
        <v>58623</v>
      </c>
      <c r="BT392" s="136">
        <v>61450</v>
      </c>
      <c r="BU392" s="136">
        <v>59414</v>
      </c>
      <c r="BV392" s="136">
        <v>57904</v>
      </c>
      <c r="BW392" s="136">
        <v>52700</v>
      </c>
      <c r="BX392" s="136">
        <v>52920</v>
      </c>
      <c r="BY392" s="136">
        <v>52073</v>
      </c>
      <c r="BZ392" s="136">
        <v>49249</v>
      </c>
      <c r="CA392" s="136">
        <v>42341</v>
      </c>
      <c r="CB392" s="136">
        <v>45976</v>
      </c>
      <c r="CC392" s="136">
        <v>45050</v>
      </c>
      <c r="CD392" s="136">
        <v>47280</v>
      </c>
      <c r="CE392" s="136">
        <v>49471</v>
      </c>
      <c r="CF392" s="136">
        <v>77399</v>
      </c>
      <c r="CG392" s="136">
        <v>73418</v>
      </c>
      <c r="CH392" s="136">
        <v>71546</v>
      </c>
      <c r="CI392" s="136">
        <v>67483</v>
      </c>
      <c r="CJ392" s="136">
        <v>55877</v>
      </c>
      <c r="CK392" s="136">
        <v>56526</v>
      </c>
      <c r="CL392" s="136">
        <v>54760</v>
      </c>
      <c r="CM392" s="136">
        <v>52484</v>
      </c>
      <c r="CN392" s="136">
        <v>276853</v>
      </c>
      <c r="CO392" s="136">
        <v>681328</v>
      </c>
    </row>
    <row r="393" spans="63:93" ht="19" customHeight="1" x14ac:dyDescent="0.35">
      <c r="BK393" s="1" t="str">
        <f t="shared" si="99"/>
        <v>CEMIG GT|ATIVO|NÃO CIRCULANTE|Imposto de renda e contribuição social a recuperar</v>
      </c>
      <c r="BM393" s="392"/>
      <c r="BN393" s="392"/>
      <c r="BO393" s="6" t="s">
        <v>277</v>
      </c>
      <c r="BP393" s="21">
        <v>153815</v>
      </c>
      <c r="BQ393" s="21">
        <v>151263</v>
      </c>
      <c r="BR393" s="21">
        <v>147344</v>
      </c>
      <c r="BS393" s="21">
        <v>143852</v>
      </c>
      <c r="BT393" s="136">
        <v>141103</v>
      </c>
      <c r="BU393" s="136">
        <v>154855</v>
      </c>
      <c r="BV393" s="136">
        <v>152142</v>
      </c>
      <c r="BW393" s="136">
        <v>209290</v>
      </c>
      <c r="BX393" s="136">
        <v>207064</v>
      </c>
      <c r="BY393" s="136">
        <v>118401</v>
      </c>
      <c r="BZ393" s="136">
        <v>103044</v>
      </c>
      <c r="CA393" s="136">
        <v>52336</v>
      </c>
      <c r="CB393" s="136">
        <v>0</v>
      </c>
      <c r="CC393" s="136">
        <v>0</v>
      </c>
      <c r="CD393" s="136">
        <v>0</v>
      </c>
      <c r="CE393" s="136">
        <v>0</v>
      </c>
      <c r="CF393" s="136">
        <v>0</v>
      </c>
      <c r="CG393" s="136">
        <v>0</v>
      </c>
      <c r="CH393" s="136">
        <v>0</v>
      </c>
      <c r="CI393" s="136">
        <v>0</v>
      </c>
      <c r="CJ393" s="136">
        <v>0</v>
      </c>
      <c r="CK393" s="136">
        <v>1797</v>
      </c>
      <c r="CL393" s="136">
        <v>0</v>
      </c>
      <c r="CM393" s="136">
        <v>3067</v>
      </c>
      <c r="CN393" s="136">
        <v>3067</v>
      </c>
      <c r="CO393" s="136">
        <v>3067</v>
      </c>
    </row>
    <row r="394" spans="63:93" ht="19" customHeight="1" x14ac:dyDescent="0.35">
      <c r="BK394" s="1" t="str">
        <f t="shared" si="99"/>
        <v>CEMIG GT|ATIVO|NÃO CIRCULANTE|Depósitos vinculados a litígios</v>
      </c>
      <c r="BM394" s="392"/>
      <c r="BN394" s="392"/>
      <c r="BO394" s="6" t="s">
        <v>287</v>
      </c>
      <c r="BP394" s="21">
        <v>174432</v>
      </c>
      <c r="BQ394" s="21">
        <v>196687</v>
      </c>
      <c r="BR394" s="21">
        <v>203106</v>
      </c>
      <c r="BS394" s="21">
        <v>201424</v>
      </c>
      <c r="BT394" s="136">
        <v>195159</v>
      </c>
      <c r="BU394" s="136">
        <v>190094</v>
      </c>
      <c r="BV394" s="136">
        <v>186520</v>
      </c>
      <c r="BW394" s="136">
        <v>183719</v>
      </c>
      <c r="BX394" s="136">
        <v>185266</v>
      </c>
      <c r="BY394" s="136">
        <v>179672</v>
      </c>
      <c r="BZ394" s="136">
        <v>179089</v>
      </c>
      <c r="CA394" s="136">
        <v>177734</v>
      </c>
      <c r="CB394" s="136">
        <v>177967</v>
      </c>
      <c r="CC394" s="136">
        <v>176160</v>
      </c>
      <c r="CD394" s="136">
        <v>174461</v>
      </c>
      <c r="CE394" s="136">
        <v>210685</v>
      </c>
      <c r="CF394" s="136">
        <v>205286</v>
      </c>
      <c r="CG394" s="136">
        <v>200503</v>
      </c>
      <c r="CH394" s="136">
        <v>161820</v>
      </c>
      <c r="CI394" s="136">
        <v>160854</v>
      </c>
      <c r="CJ394" s="136">
        <v>160291</v>
      </c>
      <c r="CK394" s="136">
        <v>161088</v>
      </c>
      <c r="CL394" s="136">
        <v>160321</v>
      </c>
      <c r="CM394" s="136">
        <v>164535</v>
      </c>
      <c r="CN394" s="136">
        <v>168755</v>
      </c>
      <c r="CO394" s="136">
        <v>170322</v>
      </c>
    </row>
    <row r="395" spans="63:93" ht="19" customHeight="1" x14ac:dyDescent="0.35">
      <c r="BK395" s="1" t="str">
        <f t="shared" si="99"/>
        <v>CEMIG GT|ATIVO|NÃO CIRCULANTE|Prêmio repactuação risco hidrológico</v>
      </c>
      <c r="BN395" s="392"/>
      <c r="BO395" s="6" t="s">
        <v>332</v>
      </c>
      <c r="BP395" s="21">
        <v>0</v>
      </c>
      <c r="BQ395" s="21">
        <v>0</v>
      </c>
      <c r="BR395" s="21">
        <v>0</v>
      </c>
      <c r="BS395" s="21">
        <v>0</v>
      </c>
      <c r="BT395" s="136">
        <v>0</v>
      </c>
      <c r="BU395" s="136">
        <v>0</v>
      </c>
      <c r="BV395" s="136">
        <v>0</v>
      </c>
      <c r="BW395" s="136">
        <v>0</v>
      </c>
      <c r="BX395" s="136">
        <v>0</v>
      </c>
      <c r="BY395" s="136">
        <v>0</v>
      </c>
      <c r="BZ395" s="136">
        <v>0</v>
      </c>
      <c r="CA395" s="136">
        <v>0</v>
      </c>
      <c r="CB395" s="136">
        <v>0</v>
      </c>
      <c r="CC395" s="136">
        <v>0</v>
      </c>
      <c r="CD395" s="136">
        <v>0</v>
      </c>
      <c r="CE395" s="136">
        <v>0</v>
      </c>
      <c r="CF395" s="136">
        <v>0</v>
      </c>
      <c r="CG395" s="136">
        <v>0</v>
      </c>
      <c r="CH395" s="136">
        <v>0</v>
      </c>
      <c r="CI395" s="136">
        <v>0</v>
      </c>
      <c r="CJ395" s="136">
        <v>0</v>
      </c>
      <c r="CK395" s="136">
        <v>0</v>
      </c>
      <c r="CL395" s="136">
        <v>0</v>
      </c>
      <c r="CM395" s="136">
        <v>0</v>
      </c>
      <c r="CN395" s="136">
        <v>0</v>
      </c>
      <c r="CO395" s="136">
        <v>6595</v>
      </c>
    </row>
    <row r="396" spans="63:93" ht="19" customHeight="1" x14ac:dyDescent="0.35">
      <c r="BK396" s="1" t="str">
        <f t="shared" si="99"/>
        <v>CEMIG GT|ATIVO|NÃO CIRCULANTE|Instrumentos financeiros derivativos</v>
      </c>
      <c r="BN396" s="392"/>
      <c r="BO396" s="6" t="s">
        <v>278</v>
      </c>
      <c r="BP396" s="21">
        <v>0</v>
      </c>
      <c r="BQ396" s="21">
        <v>0</v>
      </c>
      <c r="BR396" s="21">
        <v>0</v>
      </c>
      <c r="BS396" s="21">
        <v>0</v>
      </c>
      <c r="BT396" s="136">
        <v>0</v>
      </c>
      <c r="BU396" s="136">
        <v>0</v>
      </c>
      <c r="BV396" s="136">
        <v>0</v>
      </c>
      <c r="BW396" s="136">
        <v>0</v>
      </c>
      <c r="BX396" s="136">
        <v>0</v>
      </c>
      <c r="BY396" s="136">
        <v>0</v>
      </c>
      <c r="BZ396" s="136">
        <v>0</v>
      </c>
      <c r="CA396" s="136">
        <v>378531</v>
      </c>
      <c r="CB396" s="136">
        <v>339382</v>
      </c>
      <c r="CC396" s="136">
        <v>709067</v>
      </c>
      <c r="CD396" s="136">
        <v>702734</v>
      </c>
      <c r="CE396" s="136">
        <v>744179</v>
      </c>
      <c r="CF396" s="136">
        <v>975023</v>
      </c>
      <c r="CG396" s="136">
        <v>866223</v>
      </c>
      <c r="CH396" s="136">
        <v>1219176</v>
      </c>
      <c r="CI396" s="136">
        <v>1149837</v>
      </c>
      <c r="CJ396" s="136">
        <v>1188952</v>
      </c>
      <c r="CK396" s="136">
        <v>2249532</v>
      </c>
      <c r="CL396" s="136">
        <v>2426351</v>
      </c>
      <c r="CM396" s="136">
        <v>2665023</v>
      </c>
      <c r="CN396" s="136">
        <v>2691936</v>
      </c>
      <c r="CO396" s="136">
        <v>2520178</v>
      </c>
    </row>
    <row r="397" spans="63:93" ht="19" customHeight="1" x14ac:dyDescent="0.35">
      <c r="BK397" s="1" t="str">
        <f t="shared" si="99"/>
        <v>CEMIG GT|ATIVO|NÃO CIRCULANTE|Outros ativos</v>
      </c>
      <c r="BM397" s="392"/>
      <c r="BN397" s="392"/>
      <c r="BO397" s="6" t="s">
        <v>283</v>
      </c>
      <c r="BP397" s="21">
        <v>45191</v>
      </c>
      <c r="BQ397" s="21">
        <v>31770</v>
      </c>
      <c r="BR397" s="21">
        <v>65079</v>
      </c>
      <c r="BS397" s="21">
        <v>62451</v>
      </c>
      <c r="BT397" s="136">
        <v>61435</v>
      </c>
      <c r="BU397" s="136">
        <v>64163</v>
      </c>
      <c r="BV397" s="136">
        <v>66002</v>
      </c>
      <c r="BW397" s="136">
        <v>58448</v>
      </c>
      <c r="BX397" s="136">
        <v>60771</v>
      </c>
      <c r="BY397" s="136">
        <v>71265</v>
      </c>
      <c r="BZ397" s="136">
        <v>63619</v>
      </c>
      <c r="CA397" s="136">
        <v>56072</v>
      </c>
      <c r="CB397" s="136">
        <v>52759</v>
      </c>
      <c r="CC397" s="136">
        <v>53133</v>
      </c>
      <c r="CD397" s="136">
        <v>61895</v>
      </c>
      <c r="CE397" s="136">
        <v>52754</v>
      </c>
      <c r="CF397" s="136">
        <v>60722</v>
      </c>
      <c r="CG397" s="136">
        <v>51174</v>
      </c>
      <c r="CH397" s="136">
        <v>55000</v>
      </c>
      <c r="CI397" s="136">
        <v>49019</v>
      </c>
      <c r="CJ397" s="136">
        <v>48697</v>
      </c>
      <c r="CK397" s="136">
        <v>47091</v>
      </c>
      <c r="CL397" s="136">
        <v>55084</v>
      </c>
      <c r="CM397" s="136">
        <v>56180</v>
      </c>
      <c r="CN397" s="136">
        <v>57422</v>
      </c>
      <c r="CO397" s="136">
        <v>55136</v>
      </c>
    </row>
    <row r="398" spans="63:93" ht="19" customHeight="1" x14ac:dyDescent="0.35">
      <c r="BK398" s="1" t="str">
        <f t="shared" si="99"/>
        <v>CEMIG GT|ATIVO|NÃO CIRCULANTE|Ativo financeiro da concessão</v>
      </c>
      <c r="BM398" s="392"/>
      <c r="BN398" s="392"/>
      <c r="BO398" s="6" t="s">
        <v>330</v>
      </c>
      <c r="BP398" s="21">
        <v>3977465</v>
      </c>
      <c r="BQ398" s="21">
        <v>3894050</v>
      </c>
      <c r="BR398" s="21">
        <v>3832591</v>
      </c>
      <c r="BS398" s="21">
        <v>3789140</v>
      </c>
      <c r="BT398" s="136">
        <v>3763465</v>
      </c>
      <c r="BU398" s="136">
        <v>3708991</v>
      </c>
      <c r="BV398" s="136">
        <v>3638355</v>
      </c>
      <c r="BW398" s="136">
        <v>3581324</v>
      </c>
      <c r="BX398" s="136">
        <v>3555130</v>
      </c>
      <c r="BY398" s="136">
        <v>3548740</v>
      </c>
      <c r="BZ398" s="136">
        <v>3494644</v>
      </c>
      <c r="CA398" s="136">
        <v>3460375</v>
      </c>
      <c r="CB398" s="136">
        <v>3435831</v>
      </c>
      <c r="CC398" s="136">
        <v>3403127</v>
      </c>
      <c r="CD398" s="136">
        <v>3332528</v>
      </c>
      <c r="CE398" s="136">
        <v>3278840</v>
      </c>
      <c r="CF398" s="136">
        <v>3276968</v>
      </c>
      <c r="CG398" s="136">
        <v>3375288</v>
      </c>
      <c r="CH398" s="136">
        <v>3325170</v>
      </c>
      <c r="CI398" s="136">
        <v>3249649</v>
      </c>
      <c r="CJ398" s="136">
        <v>3199719</v>
      </c>
      <c r="CK398" s="136">
        <v>3157385</v>
      </c>
      <c r="CL398" s="136">
        <v>3106812</v>
      </c>
      <c r="CM398" s="136">
        <v>3944144</v>
      </c>
      <c r="CN398" s="136">
        <v>3982574</v>
      </c>
      <c r="CO398" s="136">
        <v>4153774</v>
      </c>
    </row>
    <row r="399" spans="63:93" ht="19" customHeight="1" x14ac:dyDescent="0.35">
      <c r="BK399" s="1" t="str">
        <f t="shared" si="99"/>
        <v>CEMIG GT|ATIVO|NÃO CIRCULANTE|Ativos de contrato</v>
      </c>
      <c r="BM399" s="390"/>
      <c r="BN399" s="392"/>
      <c r="BO399" s="6" t="s">
        <v>275</v>
      </c>
      <c r="BP399" s="21">
        <v>5157523</v>
      </c>
      <c r="BQ399" s="21">
        <v>5161415</v>
      </c>
      <c r="BR399" s="21">
        <v>5138102</v>
      </c>
      <c r="BS399" s="21">
        <v>5069136</v>
      </c>
      <c r="BT399" s="136">
        <v>5092241</v>
      </c>
      <c r="BU399" s="136">
        <v>5202477</v>
      </c>
      <c r="BV399" s="136">
        <v>5246980</v>
      </c>
      <c r="BW399" s="136">
        <v>5204158</v>
      </c>
      <c r="BX399" s="136">
        <v>3769575</v>
      </c>
      <c r="BY399" s="136">
        <v>3776827</v>
      </c>
      <c r="BZ399" s="136">
        <v>3806678</v>
      </c>
      <c r="CA399" s="136">
        <v>3822258</v>
      </c>
      <c r="CB399" s="136">
        <v>3916690</v>
      </c>
      <c r="CC399" s="136">
        <v>3940259</v>
      </c>
      <c r="CD399" s="136">
        <v>3924195</v>
      </c>
      <c r="CE399" s="136">
        <v>3852675</v>
      </c>
      <c r="CF399" s="136">
        <v>3904183</v>
      </c>
      <c r="CG399" s="136">
        <v>3771484</v>
      </c>
      <c r="CH399" s="136">
        <v>3684645</v>
      </c>
      <c r="CI399" s="136">
        <v>3438568</v>
      </c>
      <c r="CJ399" s="136">
        <v>3352281</v>
      </c>
      <c r="CK399" s="136">
        <v>2888544</v>
      </c>
      <c r="CL399" s="136">
        <v>2916272</v>
      </c>
      <c r="CM399" s="136">
        <v>1387384</v>
      </c>
      <c r="CN399" s="136">
        <v>1442480</v>
      </c>
      <c r="CO399" s="136">
        <v>1045150</v>
      </c>
    </row>
    <row r="400" spans="63:93" ht="19" customHeight="1" x14ac:dyDescent="0.35">
      <c r="BK400" s="1" t="str">
        <f>_xlfn.CONCAT($BO$369,"|",$BO$371,"|",BO400)</f>
        <v>CEMIG GT|ATIVO|Investimentos</v>
      </c>
      <c r="BM400" s="390"/>
      <c r="BN400" s="392"/>
      <c r="BO400" s="7" t="s">
        <v>290</v>
      </c>
      <c r="BP400" s="23">
        <v>1133318</v>
      </c>
      <c r="BQ400" s="23">
        <v>1165698</v>
      </c>
      <c r="BR400" s="23">
        <v>1240207</v>
      </c>
      <c r="BS400" s="23">
        <v>1289303</v>
      </c>
      <c r="BT400" s="137">
        <v>1328031</v>
      </c>
      <c r="BU400" s="137">
        <v>1375837</v>
      </c>
      <c r="BV400" s="137">
        <v>1423362</v>
      </c>
      <c r="BW400" s="137">
        <v>1569257</v>
      </c>
      <c r="BX400" s="137">
        <v>1614910</v>
      </c>
      <c r="BY400" s="137">
        <v>1634622</v>
      </c>
      <c r="BZ400" s="137">
        <v>2883337</v>
      </c>
      <c r="CA400" s="137">
        <v>3054484</v>
      </c>
      <c r="CB400" s="137">
        <v>3042132</v>
      </c>
      <c r="CC400" s="137">
        <v>3383432</v>
      </c>
      <c r="CD400" s="137">
        <v>3355051</v>
      </c>
      <c r="CE400" s="137">
        <v>3520438</v>
      </c>
      <c r="CF400" s="137">
        <v>3531730</v>
      </c>
      <c r="CG400" s="137">
        <v>3500328</v>
      </c>
      <c r="CH400" s="137">
        <v>3330193</v>
      </c>
      <c r="CI400" s="137">
        <v>3789464</v>
      </c>
      <c r="CJ400" s="137">
        <v>3610279</v>
      </c>
      <c r="CK400" s="137">
        <v>3732520</v>
      </c>
      <c r="CL400" s="137">
        <v>3755799</v>
      </c>
      <c r="CM400" s="137">
        <v>3980855</v>
      </c>
      <c r="CN400" s="137">
        <v>4020667</v>
      </c>
      <c r="CO400" s="137">
        <v>4043662</v>
      </c>
    </row>
    <row r="401" spans="63:93" ht="19" customHeight="1" x14ac:dyDescent="0.35">
      <c r="BK401" s="1" t="str">
        <f t="shared" ref="BK401:BK403" si="100">_xlfn.CONCAT($BO$369,"|",$BO$371,"|",BO401)</f>
        <v>CEMIG GT|ATIVO|Imobilizado</v>
      </c>
      <c r="BM401" s="392"/>
      <c r="BO401" s="7" t="s">
        <v>291</v>
      </c>
      <c r="BP401" s="23">
        <v>4313306</v>
      </c>
      <c r="BQ401" s="23">
        <v>4258065</v>
      </c>
      <c r="BR401" s="23">
        <v>4188713</v>
      </c>
      <c r="BS401" s="23">
        <v>3225476</v>
      </c>
      <c r="BT401" s="137">
        <v>3194814</v>
      </c>
      <c r="BU401" s="137">
        <v>3118134</v>
      </c>
      <c r="BV401" s="137">
        <v>3145772</v>
      </c>
      <c r="BW401" s="137">
        <v>3061324</v>
      </c>
      <c r="BX401" s="137">
        <v>3021630</v>
      </c>
      <c r="BY401" s="137">
        <v>3015164</v>
      </c>
      <c r="BZ401" s="137">
        <v>3035656</v>
      </c>
      <c r="CA401" s="137">
        <v>2789560</v>
      </c>
      <c r="CB401" s="137">
        <v>2534961</v>
      </c>
      <c r="CC401" s="137">
        <v>2353568</v>
      </c>
      <c r="CD401" s="137">
        <v>2356699</v>
      </c>
      <c r="CE401" s="137">
        <v>2358600</v>
      </c>
      <c r="CF401" s="137">
        <v>2363891</v>
      </c>
      <c r="CG401" s="137">
        <v>2387888</v>
      </c>
      <c r="CH401" s="137">
        <v>2417525</v>
      </c>
      <c r="CI401" s="137">
        <v>2388931</v>
      </c>
      <c r="CJ401" s="137">
        <v>2391603</v>
      </c>
      <c r="CK401" s="137">
        <v>2389711</v>
      </c>
      <c r="CL401" s="137">
        <v>2405681</v>
      </c>
      <c r="CM401" s="137">
        <v>2402856</v>
      </c>
      <c r="CN401" s="137">
        <v>2420425</v>
      </c>
      <c r="CO401" s="137">
        <v>2427822</v>
      </c>
    </row>
    <row r="402" spans="63:93" ht="20.149999999999999" customHeight="1" x14ac:dyDescent="0.35">
      <c r="BK402" s="1" t="str">
        <f t="shared" si="100"/>
        <v>CEMIG GT|ATIVO|Intangível</v>
      </c>
      <c r="BM402" s="392"/>
      <c r="BO402" s="7" t="s">
        <v>292</v>
      </c>
      <c r="BP402" s="23">
        <v>973792</v>
      </c>
      <c r="BQ402" s="23">
        <v>925474</v>
      </c>
      <c r="BR402" s="23">
        <v>967891</v>
      </c>
      <c r="BS402" s="23">
        <v>813100</v>
      </c>
      <c r="BT402" s="137">
        <v>649485</v>
      </c>
      <c r="BU402" s="137">
        <v>686772</v>
      </c>
      <c r="BV402" s="137">
        <v>724771</v>
      </c>
      <c r="BW402" s="137">
        <v>758849</v>
      </c>
      <c r="BX402" s="137">
        <v>786560</v>
      </c>
      <c r="BY402" s="137">
        <v>824202</v>
      </c>
      <c r="BZ402" s="137">
        <v>859086</v>
      </c>
      <c r="CA402" s="137">
        <v>874657</v>
      </c>
      <c r="CB402" s="137">
        <v>900379</v>
      </c>
      <c r="CC402" s="137">
        <v>935900</v>
      </c>
      <c r="CD402" s="137">
        <v>974169</v>
      </c>
      <c r="CE402" s="137">
        <v>1005412</v>
      </c>
      <c r="CF402" s="137">
        <v>1039476</v>
      </c>
      <c r="CG402" s="137">
        <v>1076140</v>
      </c>
      <c r="CH402" s="137">
        <v>1112912</v>
      </c>
      <c r="CI402" s="137">
        <v>1148323</v>
      </c>
      <c r="CJ402" s="137">
        <v>1061423</v>
      </c>
      <c r="CK402" s="137">
        <v>155195</v>
      </c>
      <c r="CL402" s="137">
        <v>156486</v>
      </c>
      <c r="CM402" s="137">
        <v>137825</v>
      </c>
      <c r="CN402" s="137">
        <v>139913</v>
      </c>
      <c r="CO402" s="137">
        <v>150996</v>
      </c>
    </row>
    <row r="403" spans="63:93" ht="20.149999999999999" customHeight="1" x14ac:dyDescent="0.35">
      <c r="BK403" s="1" t="str">
        <f t="shared" si="100"/>
        <v>CEMIG GT|ATIVO|Direito de uso</v>
      </c>
      <c r="BM403" s="392"/>
      <c r="BO403" s="8" t="s">
        <v>293</v>
      </c>
      <c r="BP403" s="23">
        <v>125655</v>
      </c>
      <c r="BQ403" s="23">
        <v>124418</v>
      </c>
      <c r="BR403" s="23">
        <v>127581</v>
      </c>
      <c r="BS403" s="23">
        <v>70357</v>
      </c>
      <c r="BT403" s="137">
        <v>70622</v>
      </c>
      <c r="BU403" s="137">
        <v>73198</v>
      </c>
      <c r="BV403" s="137">
        <v>76061</v>
      </c>
      <c r="BW403" s="137">
        <v>65632</v>
      </c>
      <c r="BX403" s="137">
        <v>68326</v>
      </c>
      <c r="BY403" s="137">
        <v>72688</v>
      </c>
      <c r="BZ403" s="137">
        <v>75384</v>
      </c>
      <c r="CA403" s="137">
        <v>75244</v>
      </c>
      <c r="CB403" s="137">
        <v>77553</v>
      </c>
      <c r="CC403" s="137">
        <v>63469</v>
      </c>
      <c r="CD403" s="137">
        <v>57219</v>
      </c>
      <c r="CE403" s="137">
        <v>42261</v>
      </c>
      <c r="CF403" s="137">
        <v>38157</v>
      </c>
      <c r="CG403" s="137">
        <v>40296</v>
      </c>
      <c r="CH403" s="137">
        <v>41864</v>
      </c>
      <c r="CI403" s="137">
        <v>43956</v>
      </c>
      <c r="CJ403" s="137">
        <v>35713</v>
      </c>
      <c r="CK403" s="137">
        <v>40217</v>
      </c>
      <c r="CL403" s="137">
        <v>41884</v>
      </c>
      <c r="CM403" s="137">
        <v>44191</v>
      </c>
      <c r="CN403" s="137">
        <v>46171</v>
      </c>
      <c r="CO403" s="137">
        <v>49491</v>
      </c>
    </row>
    <row r="404" spans="63:93" ht="28" customHeight="1" x14ac:dyDescent="0.35">
      <c r="BK404" s="81" t="str">
        <f>BO404</f>
        <v>TOTAL DO ATIVO</v>
      </c>
      <c r="BL404" s="81"/>
      <c r="BO404" s="39" t="s">
        <v>241</v>
      </c>
      <c r="BP404" s="80">
        <f>IFERROR(SUM(BP387,BP372),0)</f>
        <v>20743703</v>
      </c>
      <c r="BQ404" s="80">
        <f>IFERROR(SUM(BQ387,BQ372),0)</f>
        <v>19453917</v>
      </c>
      <c r="BR404" s="80">
        <f>IFERROR(SUM(BR387,BR372),0)</f>
        <v>19153008</v>
      </c>
      <c r="BS404" s="80">
        <f t="shared" ref="BS404:CO404" si="101">SUM(BS387,BS372)</f>
        <v>22725255</v>
      </c>
      <c r="BT404" s="80">
        <f t="shared" si="101"/>
        <v>22155535</v>
      </c>
      <c r="BU404" s="80">
        <f t="shared" si="101"/>
        <v>23046076</v>
      </c>
      <c r="BV404" s="80">
        <f t="shared" si="101"/>
        <v>22233470</v>
      </c>
      <c r="BW404" s="80">
        <f t="shared" si="101"/>
        <v>25690861</v>
      </c>
      <c r="BX404" s="80">
        <f t="shared" si="101"/>
        <v>22778570</v>
      </c>
      <c r="BY404" s="80">
        <f t="shared" si="101"/>
        <v>23026100</v>
      </c>
      <c r="BZ404" s="80">
        <f t="shared" si="101"/>
        <v>24383606</v>
      </c>
      <c r="CA404" s="80">
        <f t="shared" si="101"/>
        <v>25711257</v>
      </c>
      <c r="CB404" s="80">
        <f t="shared" si="101"/>
        <v>24761027</v>
      </c>
      <c r="CC404" s="80">
        <f t="shared" si="101"/>
        <v>25700911</v>
      </c>
      <c r="CD404" s="80">
        <f t="shared" si="101"/>
        <v>25700744</v>
      </c>
      <c r="CE404" s="80">
        <f t="shared" si="101"/>
        <v>26325894</v>
      </c>
      <c r="CF404" s="80">
        <f t="shared" si="101"/>
        <v>25745799</v>
      </c>
      <c r="CG404" s="80">
        <f t="shared" si="101"/>
        <v>24975482</v>
      </c>
      <c r="CH404" s="80">
        <f t="shared" si="101"/>
        <v>25098492</v>
      </c>
      <c r="CI404" s="80">
        <f t="shared" si="101"/>
        <v>25542675</v>
      </c>
      <c r="CJ404" s="80">
        <f t="shared" si="101"/>
        <v>26021127</v>
      </c>
      <c r="CK404" s="80">
        <f t="shared" si="101"/>
        <v>26123683</v>
      </c>
      <c r="CL404" s="80">
        <f t="shared" si="101"/>
        <v>26617345</v>
      </c>
      <c r="CM404" s="80">
        <f t="shared" si="101"/>
        <v>26628954</v>
      </c>
      <c r="CN404" s="80">
        <f t="shared" si="101"/>
        <v>26284662</v>
      </c>
      <c r="CO404" s="80">
        <f t="shared" si="101"/>
        <v>25432472</v>
      </c>
    </row>
    <row r="406" spans="63:93" ht="35.15" customHeight="1" x14ac:dyDescent="0.35">
      <c r="BK406" s="81" t="str">
        <f>BO406</f>
        <v>PASSIVO</v>
      </c>
      <c r="BL406" s="81"/>
      <c r="BO406" s="166" t="s">
        <v>236</v>
      </c>
      <c r="BP406" s="166" t="str">
        <f t="shared" ref="BP406:CO406" si="102">BP371</f>
        <v>jun | 2026</v>
      </c>
      <c r="BQ406" s="166" t="str">
        <f t="shared" si="102"/>
        <v>mar | 2026</v>
      </c>
      <c r="BR406" s="166" t="str">
        <f t="shared" si="102"/>
        <v>dez | 2025</v>
      </c>
      <c r="BS406" s="166" t="str">
        <f t="shared" si="102"/>
        <v>set | 2025</v>
      </c>
      <c r="BT406" s="166" t="str">
        <f t="shared" si="102"/>
        <v>jun | 2025</v>
      </c>
      <c r="BU406" s="166" t="str">
        <f t="shared" si="102"/>
        <v>mar | 2025</v>
      </c>
      <c r="BV406" s="166" t="str">
        <f t="shared" si="102"/>
        <v>dez | 2024</v>
      </c>
      <c r="BW406" s="166" t="str">
        <f t="shared" si="102"/>
        <v>set | 2024</v>
      </c>
      <c r="BX406" s="166" t="str">
        <f t="shared" si="102"/>
        <v>jun | 2024</v>
      </c>
      <c r="BY406" s="166" t="str">
        <f t="shared" si="102"/>
        <v>mar | 2024</v>
      </c>
      <c r="BZ406" s="166" t="str">
        <f t="shared" si="102"/>
        <v>dez | 2023</v>
      </c>
      <c r="CA406" s="166" t="str">
        <f t="shared" si="102"/>
        <v>set | 2023</v>
      </c>
      <c r="CB406" s="166" t="str">
        <f t="shared" si="102"/>
        <v>jun | 2023</v>
      </c>
      <c r="CC406" s="166" t="str">
        <f t="shared" si="102"/>
        <v>mar | 2023</v>
      </c>
      <c r="CD406" s="166" t="str">
        <f t="shared" si="102"/>
        <v>dez | 2022</v>
      </c>
      <c r="CE406" s="166" t="str">
        <f t="shared" si="102"/>
        <v>set | 2022</v>
      </c>
      <c r="CF406" s="166" t="str">
        <f t="shared" si="102"/>
        <v>jun | 2022</v>
      </c>
      <c r="CG406" s="166" t="str">
        <f t="shared" si="102"/>
        <v>mar | 2022</v>
      </c>
      <c r="CH406" s="166" t="str">
        <f t="shared" si="102"/>
        <v>dez | 2021</v>
      </c>
      <c r="CI406" s="166" t="str">
        <f t="shared" si="102"/>
        <v>set | 2021</v>
      </c>
      <c r="CJ406" s="166" t="str">
        <f t="shared" si="102"/>
        <v>jun | 2021</v>
      </c>
      <c r="CK406" s="166" t="str">
        <f t="shared" si="102"/>
        <v>mar | 2021</v>
      </c>
      <c r="CL406" s="166" t="str">
        <f t="shared" si="102"/>
        <v>dez | 2020</v>
      </c>
      <c r="CM406" s="166" t="str">
        <f t="shared" si="102"/>
        <v>set | 2020</v>
      </c>
      <c r="CN406" s="166" t="str">
        <f t="shared" si="102"/>
        <v>jun | 2020</v>
      </c>
      <c r="CO406" s="166" t="str">
        <f t="shared" si="102"/>
        <v>mar | 2020</v>
      </c>
    </row>
    <row r="407" spans="63:93" ht="23.15" customHeight="1" x14ac:dyDescent="0.35">
      <c r="BK407" s="81" t="str">
        <f>BO407</f>
        <v>CIRCULANTE</v>
      </c>
      <c r="BL407" s="81"/>
      <c r="BO407" s="17" t="s">
        <v>237</v>
      </c>
      <c r="BP407" s="24">
        <f t="shared" ref="BP407:BQ407" si="103">IFERROR(SUM(BP408:BP420),0)</f>
        <v>2142250</v>
      </c>
      <c r="BQ407" s="24">
        <f t="shared" si="103"/>
        <v>2790928</v>
      </c>
      <c r="BR407" s="24">
        <f t="shared" ref="BR407:CO407" si="104">IFERROR(SUM(BR408:BR420),0)</f>
        <v>2600825</v>
      </c>
      <c r="BS407" s="24">
        <f t="shared" si="104"/>
        <v>2992317</v>
      </c>
      <c r="BT407" s="24">
        <f t="shared" si="104"/>
        <v>2481274</v>
      </c>
      <c r="BU407" s="24">
        <f t="shared" si="104"/>
        <v>1881044</v>
      </c>
      <c r="BV407" s="24">
        <f t="shared" si="104"/>
        <v>1940508</v>
      </c>
      <c r="BW407" s="24">
        <f t="shared" si="104"/>
        <v>3979759</v>
      </c>
      <c r="BX407" s="24">
        <f t="shared" si="104"/>
        <v>3912871</v>
      </c>
      <c r="BY407" s="24">
        <f t="shared" si="104"/>
        <v>4265989</v>
      </c>
      <c r="BZ407" s="24">
        <f t="shared" si="104"/>
        <v>4551332</v>
      </c>
      <c r="CA407" s="24">
        <f t="shared" si="104"/>
        <v>2276164</v>
      </c>
      <c r="CB407" s="24">
        <f t="shared" si="104"/>
        <v>2079046</v>
      </c>
      <c r="CC407" s="24">
        <f t="shared" si="104"/>
        <v>3082029</v>
      </c>
      <c r="CD407" s="24">
        <f t="shared" si="104"/>
        <v>3451099</v>
      </c>
      <c r="CE407" s="24">
        <f t="shared" si="104"/>
        <v>2880851</v>
      </c>
      <c r="CF407" s="24">
        <f t="shared" si="104"/>
        <v>2672279</v>
      </c>
      <c r="CG407" s="24">
        <f t="shared" si="104"/>
        <v>2932782</v>
      </c>
      <c r="CH407" s="24">
        <f t="shared" si="104"/>
        <v>3179893</v>
      </c>
      <c r="CI407" s="24">
        <f t="shared" si="104"/>
        <v>2977390</v>
      </c>
      <c r="CJ407" s="24">
        <f t="shared" si="104"/>
        <v>2686243</v>
      </c>
      <c r="CK407" s="24">
        <f t="shared" si="104"/>
        <v>3184919</v>
      </c>
      <c r="CL407" s="24">
        <f t="shared" si="104"/>
        <v>3424456</v>
      </c>
      <c r="CM407" s="24">
        <f t="shared" si="104"/>
        <v>3518017</v>
      </c>
      <c r="CN407" s="24">
        <f t="shared" si="104"/>
        <v>2751180</v>
      </c>
      <c r="CO407" s="24">
        <f t="shared" si="104"/>
        <v>2773587</v>
      </c>
    </row>
    <row r="408" spans="63:93" ht="19" customHeight="1" x14ac:dyDescent="0.35">
      <c r="BK408" s="1" t="str">
        <f t="shared" ref="BK408:BK420" si="105">_xlfn.CONCAT($BO$369,"|",$BO$406,"|",$BO$407,"|",BO408)</f>
        <v>CEMIG GT|PASSIVO|CIRCULANTE|Fornecedores</v>
      </c>
      <c r="BM408" s="392"/>
      <c r="BO408" s="6" t="s">
        <v>294</v>
      </c>
      <c r="BP408" s="25">
        <v>662850</v>
      </c>
      <c r="BQ408" s="25">
        <v>577378</v>
      </c>
      <c r="BR408" s="25">
        <v>535555</v>
      </c>
      <c r="BS408" s="25">
        <v>590203</v>
      </c>
      <c r="BT408" s="25">
        <v>547746</v>
      </c>
      <c r="BU408" s="25">
        <v>415603</v>
      </c>
      <c r="BV408" s="25">
        <v>397176</v>
      </c>
      <c r="BW408" s="25">
        <v>391219</v>
      </c>
      <c r="BX408" s="25">
        <v>313219</v>
      </c>
      <c r="BY408" s="25">
        <v>263758</v>
      </c>
      <c r="BZ408" s="25">
        <v>474756</v>
      </c>
      <c r="CA408" s="25">
        <v>342487</v>
      </c>
      <c r="CB408" s="25">
        <v>381013</v>
      </c>
      <c r="CC408" s="25">
        <v>353747</v>
      </c>
      <c r="CD408" s="25">
        <v>503110</v>
      </c>
      <c r="CE408" s="25">
        <v>529481</v>
      </c>
      <c r="CF408" s="25">
        <v>432610</v>
      </c>
      <c r="CG408" s="25">
        <v>366534</v>
      </c>
      <c r="CH408" s="25">
        <v>383786</v>
      </c>
      <c r="CI408" s="25">
        <v>647726</v>
      </c>
      <c r="CJ408" s="25">
        <v>419243</v>
      </c>
      <c r="CK408" s="25">
        <v>379760</v>
      </c>
      <c r="CL408" s="25">
        <v>465939</v>
      </c>
      <c r="CM408" s="25">
        <v>440355</v>
      </c>
      <c r="CN408" s="25">
        <v>377972</v>
      </c>
      <c r="CO408" s="25">
        <v>319394</v>
      </c>
    </row>
    <row r="409" spans="63:93" ht="19" customHeight="1" x14ac:dyDescent="0.35">
      <c r="BK409" s="1" t="str">
        <f t="shared" si="105"/>
        <v>CEMIG GT|PASSIVO|CIRCULANTE|Debêntures e empréstimos</v>
      </c>
      <c r="BM409" s="392"/>
      <c r="BO409" s="6" t="s">
        <v>307</v>
      </c>
      <c r="BP409" s="25">
        <v>512987</v>
      </c>
      <c r="BQ409" s="25">
        <v>516456</v>
      </c>
      <c r="BR409" s="25">
        <v>500254</v>
      </c>
      <c r="BS409" s="25">
        <v>490857</v>
      </c>
      <c r="BT409" s="25">
        <v>262297</v>
      </c>
      <c r="BU409" s="25">
        <v>269598</v>
      </c>
      <c r="BV409" s="25">
        <v>237001</v>
      </c>
      <c r="BW409" s="25">
        <v>2178813</v>
      </c>
      <c r="BX409" s="25">
        <v>2136808</v>
      </c>
      <c r="BY409" s="25">
        <v>1998633</v>
      </c>
      <c r="BZ409" s="25">
        <v>1858013</v>
      </c>
      <c r="CA409" s="25">
        <v>167981</v>
      </c>
      <c r="CB409" s="25">
        <v>32860</v>
      </c>
      <c r="CC409" s="25">
        <v>168382</v>
      </c>
      <c r="CD409" s="25">
        <v>33707</v>
      </c>
      <c r="CE409" s="25">
        <v>187950</v>
      </c>
      <c r="CF409" s="25">
        <v>39585</v>
      </c>
      <c r="CG409" s="25">
        <v>164700</v>
      </c>
      <c r="CH409" s="25">
        <v>470536</v>
      </c>
      <c r="CI409" s="25">
        <v>596932</v>
      </c>
      <c r="CJ409" s="25">
        <v>465419</v>
      </c>
      <c r="CK409" s="25">
        <v>694504</v>
      </c>
      <c r="CL409" s="25">
        <v>764810</v>
      </c>
      <c r="CM409" s="25">
        <v>1103848</v>
      </c>
      <c r="CN409" s="25">
        <v>902558</v>
      </c>
      <c r="CO409" s="25">
        <v>1101429</v>
      </c>
    </row>
    <row r="410" spans="63:93" ht="19" customHeight="1" x14ac:dyDescent="0.35">
      <c r="BK410" s="1" t="str">
        <f t="shared" si="105"/>
        <v>CEMIG GT|PASSIVO|CIRCULANTE|Imposto de renda e contribuição social</v>
      </c>
      <c r="BM410" s="392"/>
      <c r="BO410" s="6" t="s">
        <v>15</v>
      </c>
      <c r="BP410" s="25">
        <v>11251</v>
      </c>
      <c r="BQ410" s="25">
        <v>11023</v>
      </c>
      <c r="BR410" s="25">
        <v>32306</v>
      </c>
      <c r="BS410" s="25">
        <v>14317</v>
      </c>
      <c r="BT410" s="25">
        <v>11720</v>
      </c>
      <c r="BU410" s="25">
        <v>79351</v>
      </c>
      <c r="BV410" s="25">
        <v>29006</v>
      </c>
      <c r="BW410" s="25">
        <v>690788</v>
      </c>
      <c r="BX410" s="25">
        <v>19200</v>
      </c>
      <c r="BY410" s="25">
        <v>19994</v>
      </c>
      <c r="BZ410" s="25">
        <v>19513</v>
      </c>
      <c r="CA410" s="25">
        <v>18016</v>
      </c>
      <c r="CB410" s="25">
        <v>14404</v>
      </c>
      <c r="CC410" s="25">
        <v>63498</v>
      </c>
      <c r="CD410" s="25">
        <v>109881</v>
      </c>
      <c r="CE410" s="25">
        <v>127142</v>
      </c>
      <c r="CF410" s="25">
        <v>99031</v>
      </c>
      <c r="CG410" s="25">
        <v>53931</v>
      </c>
      <c r="CH410" s="25">
        <v>157444</v>
      </c>
      <c r="CI410" s="25">
        <v>120359</v>
      </c>
      <c r="CJ410" s="25">
        <v>106446</v>
      </c>
      <c r="CK410" s="25">
        <v>52947</v>
      </c>
      <c r="CL410" s="25">
        <v>128012</v>
      </c>
      <c r="CM410" s="25">
        <v>100275</v>
      </c>
      <c r="CN410" s="25">
        <v>65566</v>
      </c>
      <c r="CO410" s="25">
        <v>45618</v>
      </c>
    </row>
    <row r="411" spans="63:93" ht="19" customHeight="1" x14ac:dyDescent="0.35">
      <c r="BK411" s="1" t="str">
        <f t="shared" si="105"/>
        <v>CEMIG GT|PASSIVO|CIRCULANTE|Impostos, taxas e contribuições</v>
      </c>
      <c r="BM411" s="392"/>
      <c r="BO411" s="6" t="s">
        <v>296</v>
      </c>
      <c r="BP411" s="25">
        <v>213636</v>
      </c>
      <c r="BQ411" s="25">
        <v>204570</v>
      </c>
      <c r="BR411" s="25">
        <v>193635</v>
      </c>
      <c r="BS411" s="25">
        <v>188534</v>
      </c>
      <c r="BT411" s="25">
        <v>192948</v>
      </c>
      <c r="BU411" s="25">
        <v>196247</v>
      </c>
      <c r="BV411" s="25">
        <v>202835</v>
      </c>
      <c r="BW411" s="25">
        <v>194869</v>
      </c>
      <c r="BX411" s="25">
        <v>148373</v>
      </c>
      <c r="BY411" s="25">
        <v>172666</v>
      </c>
      <c r="BZ411" s="25">
        <v>170796</v>
      </c>
      <c r="CA411" s="25">
        <v>174277</v>
      </c>
      <c r="CB411" s="25">
        <v>167914</v>
      </c>
      <c r="CC411" s="25">
        <v>172213</v>
      </c>
      <c r="CD411" s="25">
        <v>176252</v>
      </c>
      <c r="CE411" s="25">
        <v>133216</v>
      </c>
      <c r="CF411" s="25">
        <v>133327</v>
      </c>
      <c r="CG411" s="25">
        <v>137352</v>
      </c>
      <c r="CH411" s="25">
        <v>144387</v>
      </c>
      <c r="CI411" s="25">
        <v>103356</v>
      </c>
      <c r="CJ411" s="25">
        <v>143143</v>
      </c>
      <c r="CK411" s="25">
        <v>138183</v>
      </c>
      <c r="CL411" s="25">
        <v>165241</v>
      </c>
      <c r="CM411" s="25">
        <v>116627</v>
      </c>
      <c r="CN411" s="25">
        <v>137428</v>
      </c>
      <c r="CO411" s="25">
        <v>62146</v>
      </c>
    </row>
    <row r="412" spans="63:93" ht="19" customHeight="1" x14ac:dyDescent="0.35">
      <c r="BK412" s="1" t="str">
        <f t="shared" si="105"/>
        <v>CEMIG GT|PASSIVO|CIRCULANTE|Encargos regulatórios</v>
      </c>
      <c r="BM412" s="392"/>
      <c r="BO412" s="6" t="s">
        <v>295</v>
      </c>
      <c r="BP412" s="25">
        <v>107098</v>
      </c>
      <c r="BQ412" s="25">
        <v>89558</v>
      </c>
      <c r="BR412" s="25">
        <v>101479</v>
      </c>
      <c r="BS412" s="25">
        <v>105253</v>
      </c>
      <c r="BT412" s="25">
        <v>82055</v>
      </c>
      <c r="BU412" s="25">
        <v>106697</v>
      </c>
      <c r="BV412" s="25">
        <v>97441</v>
      </c>
      <c r="BW412" s="25">
        <v>111018</v>
      </c>
      <c r="BX412" s="25">
        <v>107569</v>
      </c>
      <c r="BY412" s="25">
        <v>109211</v>
      </c>
      <c r="BZ412" s="25">
        <v>113258</v>
      </c>
      <c r="CA412" s="25">
        <v>113302</v>
      </c>
      <c r="CB412" s="25">
        <v>110902</v>
      </c>
      <c r="CC412" s="25">
        <v>108196</v>
      </c>
      <c r="CD412" s="25">
        <v>116248</v>
      </c>
      <c r="CE412" s="25">
        <v>125249</v>
      </c>
      <c r="CF412" s="25">
        <v>146988</v>
      </c>
      <c r="CG412" s="25">
        <v>103140</v>
      </c>
      <c r="CH412" s="25">
        <v>111160</v>
      </c>
      <c r="CI412" s="25">
        <v>144371</v>
      </c>
      <c r="CJ412" s="25">
        <v>182656</v>
      </c>
      <c r="CK412" s="25">
        <v>217261</v>
      </c>
      <c r="CL412" s="25">
        <v>172619</v>
      </c>
      <c r="CM412" s="25">
        <v>167120</v>
      </c>
      <c r="CN412" s="25">
        <v>164231</v>
      </c>
      <c r="CO412" s="25">
        <v>169731</v>
      </c>
    </row>
    <row r="413" spans="63:93" ht="19" customHeight="1" x14ac:dyDescent="0.35">
      <c r="BK413" s="1" t="str">
        <f t="shared" si="105"/>
        <v>CEMIG GT|PASSIVO|CIRCULANTE|Obrigações pós-emprego</v>
      </c>
      <c r="BM413" s="392"/>
      <c r="BO413" s="6" t="s">
        <v>111</v>
      </c>
      <c r="BP413" s="25">
        <v>35438</v>
      </c>
      <c r="BQ413" s="25">
        <v>32598</v>
      </c>
      <c r="BR413" s="25">
        <v>29794</v>
      </c>
      <c r="BS413" s="25">
        <v>43053</v>
      </c>
      <c r="BT413" s="25">
        <v>44317</v>
      </c>
      <c r="BU413" s="25">
        <v>40052</v>
      </c>
      <c r="BV413" s="25">
        <v>49675</v>
      </c>
      <c r="BW413" s="25">
        <v>48256</v>
      </c>
      <c r="BX413" s="25">
        <v>48798</v>
      </c>
      <c r="BY413" s="25">
        <v>60770</v>
      </c>
      <c r="BZ413" s="25">
        <v>71026</v>
      </c>
      <c r="CA413" s="25">
        <v>81559</v>
      </c>
      <c r="CB413" s="25">
        <v>88734</v>
      </c>
      <c r="CC413" s="25">
        <v>86750</v>
      </c>
      <c r="CD413" s="25">
        <v>84377</v>
      </c>
      <c r="CE413" s="25">
        <v>81236</v>
      </c>
      <c r="CF413" s="25">
        <v>79500</v>
      </c>
      <c r="CG413" s="25">
        <v>76371</v>
      </c>
      <c r="CH413" s="25">
        <v>75257</v>
      </c>
      <c r="CI413" s="25">
        <v>72641</v>
      </c>
      <c r="CJ413" s="25">
        <v>70528</v>
      </c>
      <c r="CK413" s="25">
        <v>68133</v>
      </c>
      <c r="CL413" s="25">
        <v>66206</v>
      </c>
      <c r="CM413" s="25">
        <v>64504</v>
      </c>
      <c r="CN413" s="25">
        <v>67850</v>
      </c>
      <c r="CO413" s="25">
        <v>63209</v>
      </c>
    </row>
    <row r="414" spans="63:93" ht="19" customHeight="1" x14ac:dyDescent="0.35">
      <c r="BK414" s="1" t="str">
        <f t="shared" si="105"/>
        <v>CEMIG GT|PASSIVO|CIRCULANTE|Indenização compensatória</v>
      </c>
      <c r="BM414" s="392"/>
      <c r="BO414" s="6" t="s">
        <v>301</v>
      </c>
      <c r="BP414" s="25">
        <v>47146</v>
      </c>
      <c r="BQ414" s="25">
        <v>47146</v>
      </c>
      <c r="BR414" s="25">
        <v>94525</v>
      </c>
      <c r="BS414" s="25">
        <v>0</v>
      </c>
      <c r="BT414" s="25">
        <v>0</v>
      </c>
      <c r="BU414" s="25">
        <v>0</v>
      </c>
      <c r="BV414" s="25">
        <v>0</v>
      </c>
      <c r="BW414" s="25">
        <v>0</v>
      </c>
      <c r="BX414" s="25">
        <v>0</v>
      </c>
      <c r="BY414" s="25">
        <v>0</v>
      </c>
      <c r="BZ414" s="25">
        <v>0</v>
      </c>
      <c r="CA414" s="25">
        <v>0</v>
      </c>
      <c r="CB414" s="25">
        <v>0</v>
      </c>
      <c r="CC414" s="25">
        <v>0</v>
      </c>
      <c r="CD414" s="25">
        <v>0</v>
      </c>
      <c r="CE414" s="25">
        <v>0</v>
      </c>
      <c r="CF414" s="25">
        <v>0</v>
      </c>
      <c r="CG414" s="25">
        <v>0</v>
      </c>
      <c r="CH414" s="25">
        <v>0</v>
      </c>
      <c r="CI414" s="25">
        <v>0</v>
      </c>
      <c r="CJ414" s="25">
        <v>0</v>
      </c>
      <c r="CK414" s="25">
        <v>0</v>
      </c>
      <c r="CL414" s="25">
        <v>0</v>
      </c>
      <c r="CM414" s="25">
        <v>0</v>
      </c>
      <c r="CN414" s="25">
        <v>0</v>
      </c>
      <c r="CO414" s="25">
        <v>0</v>
      </c>
    </row>
    <row r="415" spans="63:93" ht="19" customHeight="1" x14ac:dyDescent="0.35">
      <c r="BK415" s="1" t="str">
        <f t="shared" si="105"/>
        <v>CEMIG GT|PASSIVO|CIRCULANTE|Juros sobre capital próprio e dividendos a pagar</v>
      </c>
      <c r="BM415" s="392"/>
      <c r="BO415" s="6" t="s">
        <v>297</v>
      </c>
      <c r="BP415" s="25">
        <v>285818</v>
      </c>
      <c r="BQ415" s="25">
        <v>1104533</v>
      </c>
      <c r="BR415" s="25">
        <v>908636</v>
      </c>
      <c r="BS415" s="25">
        <v>1354357</v>
      </c>
      <c r="BT415" s="25">
        <v>1154729</v>
      </c>
      <c r="BU415" s="25">
        <v>582870</v>
      </c>
      <c r="BV415" s="25">
        <v>744133</v>
      </c>
      <c r="BW415" s="25">
        <v>151017</v>
      </c>
      <c r="BX415" s="25">
        <v>867464</v>
      </c>
      <c r="BY415" s="25">
        <v>1380595</v>
      </c>
      <c r="BZ415" s="25">
        <v>1565563</v>
      </c>
      <c r="CA415" s="25">
        <v>1079062</v>
      </c>
      <c r="CB415" s="25">
        <v>942479</v>
      </c>
      <c r="CC415" s="25">
        <v>1045725</v>
      </c>
      <c r="CD415" s="25">
        <v>1406958</v>
      </c>
      <c r="CE415" s="25">
        <v>685082</v>
      </c>
      <c r="CF415" s="25">
        <v>685082</v>
      </c>
      <c r="CG415" s="25">
        <v>799947</v>
      </c>
      <c r="CH415" s="25">
        <v>799947</v>
      </c>
      <c r="CI415" s="25">
        <v>479093</v>
      </c>
      <c r="CJ415" s="25">
        <v>479093</v>
      </c>
      <c r="CK415" s="25">
        <v>891998</v>
      </c>
      <c r="CL415" s="25">
        <v>891998</v>
      </c>
      <c r="CM415" s="25">
        <v>781769</v>
      </c>
      <c r="CN415" s="25">
        <v>781769</v>
      </c>
      <c r="CO415" s="25">
        <v>781769</v>
      </c>
    </row>
    <row r="416" spans="63:93" ht="19" customHeight="1" x14ac:dyDescent="0.35">
      <c r="BK416" s="1" t="str">
        <f t="shared" si="105"/>
        <v>CEMIG GT|PASSIVO|CIRCULANTE|Salários e encargos sociais</v>
      </c>
      <c r="BM416" s="392"/>
      <c r="BO416" s="6" t="s">
        <v>322</v>
      </c>
      <c r="BP416" s="25">
        <v>67886</v>
      </c>
      <c r="BQ416" s="25">
        <v>52186</v>
      </c>
      <c r="BR416" s="25">
        <v>54148</v>
      </c>
      <c r="BS416" s="25">
        <v>62138</v>
      </c>
      <c r="BT416" s="25">
        <v>58703</v>
      </c>
      <c r="BU416" s="25">
        <v>48969</v>
      </c>
      <c r="BV416" s="25">
        <v>51397</v>
      </c>
      <c r="BW416" s="25">
        <v>72931</v>
      </c>
      <c r="BX416" s="25">
        <v>77213</v>
      </c>
      <c r="BY416" s="25">
        <v>55319</v>
      </c>
      <c r="BZ416" s="25">
        <v>58466</v>
      </c>
      <c r="CA416" s="25">
        <v>62079</v>
      </c>
      <c r="CB416" s="25">
        <v>59165</v>
      </c>
      <c r="CC416" s="25">
        <v>60968</v>
      </c>
      <c r="CD416" s="25">
        <v>68283</v>
      </c>
      <c r="CE416" s="25">
        <v>65816</v>
      </c>
      <c r="CF416" s="25">
        <v>67309</v>
      </c>
      <c r="CG416" s="25">
        <v>53887</v>
      </c>
      <c r="CH416" s="25">
        <v>58625</v>
      </c>
      <c r="CI416" s="25">
        <v>61562</v>
      </c>
      <c r="CJ416" s="25">
        <v>58852</v>
      </c>
      <c r="CK416" s="25">
        <v>48294</v>
      </c>
      <c r="CL416" s="25">
        <v>52106</v>
      </c>
      <c r="CM416" s="25">
        <v>57845</v>
      </c>
      <c r="CN416" s="25">
        <v>54799</v>
      </c>
      <c r="CO416" s="25">
        <v>46743</v>
      </c>
    </row>
    <row r="417" spans="63:93" ht="19" customHeight="1" x14ac:dyDescent="0.35">
      <c r="BK417" s="1" t="str">
        <f t="shared" si="105"/>
        <v>CEMIG GT|PASSIVO|CIRCULANTE|Instrumentos financeiros derivativos</v>
      </c>
      <c r="BM417" s="392"/>
      <c r="BO417" s="6" t="s">
        <v>278</v>
      </c>
      <c r="BP417" s="25">
        <v>32312</v>
      </c>
      <c r="BQ417" s="25">
        <v>26027</v>
      </c>
      <c r="BR417" s="25">
        <v>8508</v>
      </c>
      <c r="BS417" s="25">
        <v>10172</v>
      </c>
      <c r="BT417" s="25">
        <v>0</v>
      </c>
      <c r="BU417" s="25">
        <v>0</v>
      </c>
      <c r="BV417" s="25">
        <v>0</v>
      </c>
      <c r="BW417" s="25">
        <v>0</v>
      </c>
      <c r="BX417" s="25">
        <v>0</v>
      </c>
      <c r="BY417" s="25">
        <v>0</v>
      </c>
      <c r="BZ417" s="25">
        <v>0</v>
      </c>
      <c r="CA417" s="25">
        <v>41742</v>
      </c>
      <c r="CB417" s="25">
        <v>105020</v>
      </c>
      <c r="CC417" s="25">
        <v>109584</v>
      </c>
      <c r="CD417" s="25">
        <v>90526</v>
      </c>
      <c r="CE417" s="25">
        <v>91693</v>
      </c>
      <c r="CF417" s="25">
        <v>128499</v>
      </c>
      <c r="CG417" s="25">
        <v>109824</v>
      </c>
      <c r="CH417" s="25">
        <v>6130</v>
      </c>
      <c r="CI417" s="25">
        <v>0</v>
      </c>
      <c r="CJ417" s="25">
        <v>59032</v>
      </c>
      <c r="CK417" s="25">
        <v>0</v>
      </c>
      <c r="CL417" s="25">
        <v>0</v>
      </c>
      <c r="CM417" s="25">
        <v>0</v>
      </c>
      <c r="CN417" s="25">
        <v>0</v>
      </c>
      <c r="CO417" s="25">
        <v>0</v>
      </c>
    </row>
    <row r="418" spans="63:93" ht="19" customHeight="1" x14ac:dyDescent="0.35">
      <c r="BK418" s="1" t="str">
        <f t="shared" si="105"/>
        <v>CEMIG GT|PASSIVO|CIRCULANTE|Instrumentos financeiros - Opção de venda</v>
      </c>
      <c r="BO418" s="6" t="s">
        <v>333</v>
      </c>
      <c r="BP418" s="25">
        <v>0</v>
      </c>
      <c r="BQ418" s="25">
        <v>0</v>
      </c>
      <c r="BR418" s="25">
        <v>0</v>
      </c>
      <c r="BS418" s="25">
        <v>0</v>
      </c>
      <c r="BT418" s="25">
        <v>0</v>
      </c>
      <c r="BU418" s="25">
        <v>0</v>
      </c>
      <c r="BV418" s="25">
        <v>0</v>
      </c>
      <c r="BW418" s="25">
        <v>0</v>
      </c>
      <c r="BX418" s="25">
        <v>0</v>
      </c>
      <c r="BY418" s="25">
        <v>0</v>
      </c>
      <c r="BZ418" s="25">
        <v>0</v>
      </c>
      <c r="CA418" s="25">
        <v>0</v>
      </c>
      <c r="CB418" s="25">
        <v>0</v>
      </c>
      <c r="CC418" s="25">
        <v>705171</v>
      </c>
      <c r="CD418" s="25">
        <v>672416</v>
      </c>
      <c r="CE418" s="25">
        <v>653967</v>
      </c>
      <c r="CF418" s="25">
        <v>668691</v>
      </c>
      <c r="CG418" s="25">
        <v>663719</v>
      </c>
      <c r="CH418" s="25">
        <v>636292</v>
      </c>
      <c r="CI418" s="25">
        <v>572490</v>
      </c>
      <c r="CJ418" s="25">
        <v>549513</v>
      </c>
      <c r="CK418" s="25">
        <v>522988</v>
      </c>
      <c r="CL418" s="25">
        <v>536155</v>
      </c>
      <c r="CM418" s="25">
        <v>515887</v>
      </c>
      <c r="CN418" s="25">
        <v>0</v>
      </c>
      <c r="CO418" s="25">
        <v>0</v>
      </c>
    </row>
    <row r="419" spans="63:93" ht="19" customHeight="1" x14ac:dyDescent="0.35">
      <c r="BK419" s="1" t="str">
        <f t="shared" si="105"/>
        <v>CEMIG GT|PASSIVO|CIRCULANTE|Passivo de arrendamentos</v>
      </c>
      <c r="BM419" s="390"/>
      <c r="BO419" s="6" t="s">
        <v>334</v>
      </c>
      <c r="BP419" s="25">
        <v>24731</v>
      </c>
      <c r="BQ419" s="25">
        <v>19815</v>
      </c>
      <c r="BR419" s="25">
        <v>19634</v>
      </c>
      <c r="BS419" s="25">
        <v>14988</v>
      </c>
      <c r="BT419" s="25">
        <v>14785</v>
      </c>
      <c r="BU419" s="25">
        <v>14791</v>
      </c>
      <c r="BV419" s="25">
        <v>14782</v>
      </c>
      <c r="BW419" s="25">
        <v>13625</v>
      </c>
      <c r="BX419" s="25">
        <v>13655</v>
      </c>
      <c r="BY419" s="25">
        <v>11028</v>
      </c>
      <c r="BZ419" s="25">
        <v>15765</v>
      </c>
      <c r="CA419" s="25">
        <v>15502</v>
      </c>
      <c r="CB419" s="25">
        <v>15415</v>
      </c>
      <c r="CC419" s="25">
        <v>11786</v>
      </c>
      <c r="CD419" s="25">
        <v>9893</v>
      </c>
      <c r="CE419" s="25">
        <v>5360</v>
      </c>
      <c r="CF419" s="25">
        <v>6960</v>
      </c>
      <c r="CG419" s="25">
        <v>8691</v>
      </c>
      <c r="CH419" s="25">
        <v>9829</v>
      </c>
      <c r="CI419" s="25">
        <v>11445</v>
      </c>
      <c r="CJ419" s="25">
        <v>6221</v>
      </c>
      <c r="CK419" s="25">
        <v>7936</v>
      </c>
      <c r="CL419" s="25">
        <v>8702</v>
      </c>
      <c r="CM419" s="25">
        <v>11815</v>
      </c>
      <c r="CN419" s="25">
        <v>13769</v>
      </c>
      <c r="CO419" s="25">
        <v>15249</v>
      </c>
    </row>
    <row r="420" spans="63:93" ht="19" customHeight="1" x14ac:dyDescent="0.35">
      <c r="BK420" s="1" t="str">
        <f t="shared" si="105"/>
        <v>CEMIG GT|PASSIVO|CIRCULANTE|Outros passivos</v>
      </c>
      <c r="BM420" s="392"/>
      <c r="BO420" s="6" t="s">
        <v>306</v>
      </c>
      <c r="BP420" s="25">
        <v>141097</v>
      </c>
      <c r="BQ420" s="25">
        <v>109638</v>
      </c>
      <c r="BR420" s="25">
        <v>122351</v>
      </c>
      <c r="BS420" s="25">
        <v>118445</v>
      </c>
      <c r="BT420" s="25">
        <v>111974</v>
      </c>
      <c r="BU420" s="25">
        <v>126866</v>
      </c>
      <c r="BV420" s="25">
        <v>117062</v>
      </c>
      <c r="BW420" s="25">
        <v>127223</v>
      </c>
      <c r="BX420" s="25">
        <v>180572</v>
      </c>
      <c r="BY420" s="25">
        <v>194015</v>
      </c>
      <c r="BZ420" s="25">
        <v>204176</v>
      </c>
      <c r="CA420" s="25">
        <v>180157</v>
      </c>
      <c r="CB420" s="25">
        <v>161140</v>
      </c>
      <c r="CC420" s="25">
        <v>196009</v>
      </c>
      <c r="CD420" s="25">
        <v>179448</v>
      </c>
      <c r="CE420" s="25">
        <v>194659</v>
      </c>
      <c r="CF420" s="25">
        <v>184697</v>
      </c>
      <c r="CG420" s="25">
        <v>394686</v>
      </c>
      <c r="CH420" s="25">
        <v>326500</v>
      </c>
      <c r="CI420" s="25">
        <v>167415</v>
      </c>
      <c r="CJ420" s="25">
        <v>146097</v>
      </c>
      <c r="CK420" s="25">
        <v>162915</v>
      </c>
      <c r="CL420" s="25">
        <v>172668</v>
      </c>
      <c r="CM420" s="25">
        <v>157972</v>
      </c>
      <c r="CN420" s="25">
        <v>185238</v>
      </c>
      <c r="CO420" s="25">
        <v>168299</v>
      </c>
    </row>
    <row r="421" spans="63:93" ht="23.15" customHeight="1" x14ac:dyDescent="0.35">
      <c r="BK421" s="81" t="str">
        <f>BO421</f>
        <v>NÃO CIRCULANTE</v>
      </c>
      <c r="BL421" s="81"/>
      <c r="BM421" s="1"/>
      <c r="BO421" s="18" t="s">
        <v>238</v>
      </c>
      <c r="BP421" s="26">
        <f t="shared" ref="BP421:CO421" si="106">IFERROR(SUM(BP422:BP431),0)</f>
        <v>7810025</v>
      </c>
      <c r="BQ421" s="26">
        <f t="shared" si="106"/>
        <v>5626800</v>
      </c>
      <c r="BR421" s="26">
        <f t="shared" si="106"/>
        <v>5659738</v>
      </c>
      <c r="BS421" s="26">
        <f t="shared" si="106"/>
        <v>4484208</v>
      </c>
      <c r="BT421" s="26">
        <f t="shared" si="106"/>
        <v>4576898</v>
      </c>
      <c r="BU421" s="26">
        <f t="shared" si="106"/>
        <v>4679546</v>
      </c>
      <c r="BV421" s="26">
        <f t="shared" si="106"/>
        <v>4058784</v>
      </c>
      <c r="BW421" s="26">
        <f t="shared" si="106"/>
        <v>4562827</v>
      </c>
      <c r="BX421" s="26">
        <f t="shared" si="106"/>
        <v>3963175</v>
      </c>
      <c r="BY421" s="26">
        <f t="shared" si="106"/>
        <v>3954127</v>
      </c>
      <c r="BZ421" s="26">
        <f t="shared" si="106"/>
        <v>3866635</v>
      </c>
      <c r="CA421" s="26">
        <f t="shared" si="106"/>
        <v>7618639</v>
      </c>
      <c r="CB421" s="26">
        <f t="shared" si="106"/>
        <v>7461806</v>
      </c>
      <c r="CC421" s="26">
        <f t="shared" si="106"/>
        <v>7534190</v>
      </c>
      <c r="CD421" s="26">
        <f t="shared" si="106"/>
        <v>7645085</v>
      </c>
      <c r="CE421" s="26">
        <f t="shared" si="106"/>
        <v>8155905</v>
      </c>
      <c r="CF421" s="26">
        <f t="shared" si="106"/>
        <v>8019041</v>
      </c>
      <c r="CG421" s="26">
        <f t="shared" si="106"/>
        <v>7585516</v>
      </c>
      <c r="CH421" s="26">
        <f t="shared" si="106"/>
        <v>8415427</v>
      </c>
      <c r="CI421" s="26">
        <f t="shared" si="106"/>
        <v>8407556</v>
      </c>
      <c r="CJ421" s="26">
        <f t="shared" si="106"/>
        <v>10493009</v>
      </c>
      <c r="CK421" s="26">
        <f t="shared" si="106"/>
        <v>11285735</v>
      </c>
      <c r="CL421" s="26">
        <f t="shared" si="106"/>
        <v>11189238</v>
      </c>
      <c r="CM421" s="26">
        <f t="shared" si="106"/>
        <v>11223046</v>
      </c>
      <c r="CN421" s="26">
        <f t="shared" si="106"/>
        <v>11591215</v>
      </c>
      <c r="CO421" s="26">
        <f t="shared" si="106"/>
        <v>11055237</v>
      </c>
    </row>
    <row r="422" spans="63:93" ht="19" customHeight="1" x14ac:dyDescent="0.35">
      <c r="BK422" s="1" t="str">
        <f t="shared" ref="BK422:BK431" si="107">_xlfn.CONCAT($BO$369,"|",$BO$406,"|",$BO$421,"|",BO422)</f>
        <v>CEMIG GT|PASSIVO|NÃO CIRCULANTE|Debêntures e empréstimos</v>
      </c>
      <c r="BM422" s="392"/>
      <c r="BO422" s="6" t="s">
        <v>307</v>
      </c>
      <c r="BP422" s="25">
        <v>4711314</v>
      </c>
      <c r="BQ422" s="25">
        <v>2674274</v>
      </c>
      <c r="BR422" s="25">
        <v>2655114</v>
      </c>
      <c r="BS422" s="25">
        <v>1429740</v>
      </c>
      <c r="BT422" s="25">
        <v>1426800</v>
      </c>
      <c r="BU422" s="25">
        <v>1423337</v>
      </c>
      <c r="BV422" s="25">
        <v>794923</v>
      </c>
      <c r="BW422" s="25">
        <v>1021996</v>
      </c>
      <c r="BX422" s="25">
        <v>1019278</v>
      </c>
      <c r="BY422" s="25">
        <v>1015429</v>
      </c>
      <c r="BZ422" s="25">
        <v>1010080</v>
      </c>
      <c r="CA422" s="25">
        <v>4786709</v>
      </c>
      <c r="CB422" s="25">
        <v>4639646</v>
      </c>
      <c r="CC422" s="25">
        <v>4833118</v>
      </c>
      <c r="CD422" s="25">
        <v>4925359</v>
      </c>
      <c r="CE422" s="25">
        <v>5389788</v>
      </c>
      <c r="CF422" s="25">
        <v>5219541</v>
      </c>
      <c r="CG422" s="25">
        <v>4717783</v>
      </c>
      <c r="CH422" s="25">
        <v>5558924</v>
      </c>
      <c r="CI422" s="25">
        <v>5416349</v>
      </c>
      <c r="CJ422" s="25">
        <v>7466511</v>
      </c>
      <c r="CK422" s="25">
        <v>8507067</v>
      </c>
      <c r="CL422" s="25">
        <v>8120901</v>
      </c>
      <c r="CM422" s="25">
        <v>8845011</v>
      </c>
      <c r="CN422" s="25">
        <v>8661730</v>
      </c>
      <c r="CO422" s="25">
        <v>8317189</v>
      </c>
    </row>
    <row r="423" spans="63:93" ht="19" customHeight="1" x14ac:dyDescent="0.35">
      <c r="BK423" s="1" t="str">
        <f t="shared" si="107"/>
        <v>CEMIG GT|PASSIVO|NÃO CIRCULANTE|Imposto de renda e contribuição social diferidos</v>
      </c>
      <c r="BM423" s="392"/>
      <c r="BO423" s="6" t="s">
        <v>16</v>
      </c>
      <c r="BP423" s="25">
        <v>1306130</v>
      </c>
      <c r="BQ423" s="25">
        <v>1344410</v>
      </c>
      <c r="BR423" s="25">
        <v>1352718</v>
      </c>
      <c r="BS423" s="25">
        <v>1198040</v>
      </c>
      <c r="BT423" s="25">
        <v>1204377</v>
      </c>
      <c r="BU423" s="25">
        <v>1295380</v>
      </c>
      <c r="BV423" s="25">
        <v>1310243</v>
      </c>
      <c r="BW423" s="25">
        <v>1408679</v>
      </c>
      <c r="BX423" s="25">
        <v>955936</v>
      </c>
      <c r="BY423" s="25">
        <v>930912</v>
      </c>
      <c r="BZ423" s="25">
        <v>869579</v>
      </c>
      <c r="CA423" s="25">
        <v>791368</v>
      </c>
      <c r="CB423" s="25">
        <v>748944</v>
      </c>
      <c r="CC423" s="25">
        <v>650051</v>
      </c>
      <c r="CD423" s="25">
        <v>646368</v>
      </c>
      <c r="CE423" s="25">
        <v>523196</v>
      </c>
      <c r="CF423" s="25">
        <v>552313</v>
      </c>
      <c r="CG423" s="25">
        <v>655779</v>
      </c>
      <c r="CH423" s="25">
        <v>678897</v>
      </c>
      <c r="CI423" s="25">
        <v>669926</v>
      </c>
      <c r="CJ423" s="25">
        <v>720727</v>
      </c>
      <c r="CK423" s="25">
        <v>527017</v>
      </c>
      <c r="CL423" s="25">
        <v>773560</v>
      </c>
      <c r="CM423" s="25">
        <v>419456</v>
      </c>
      <c r="CN423" s="25">
        <v>478530</v>
      </c>
      <c r="CO423" s="25">
        <v>320615</v>
      </c>
    </row>
    <row r="424" spans="63:93" ht="19" customHeight="1" x14ac:dyDescent="0.35">
      <c r="BK424" s="1" t="str">
        <f t="shared" si="107"/>
        <v>CEMIG GT|PASSIVO|NÃO CIRCULANTE|Impostos, taxas e contribuições</v>
      </c>
      <c r="BM424" s="392"/>
      <c r="BO424" s="6" t="s">
        <v>296</v>
      </c>
      <c r="BP424" s="25">
        <v>495789</v>
      </c>
      <c r="BQ424" s="25">
        <v>482140</v>
      </c>
      <c r="BR424" s="25">
        <v>480693</v>
      </c>
      <c r="BS424" s="25">
        <v>474446</v>
      </c>
      <c r="BT424" s="25">
        <v>476863</v>
      </c>
      <c r="BU424" s="25">
        <v>488555</v>
      </c>
      <c r="BV424" s="25">
        <v>485378</v>
      </c>
      <c r="BW424" s="25">
        <v>477737</v>
      </c>
      <c r="BX424" s="25">
        <v>346376</v>
      </c>
      <c r="BY424" s="25">
        <v>347121</v>
      </c>
      <c r="BZ424" s="25">
        <v>351528</v>
      </c>
      <c r="CA424" s="25">
        <v>352409</v>
      </c>
      <c r="CB424" s="25">
        <v>360402</v>
      </c>
      <c r="CC424" s="25">
        <v>361382</v>
      </c>
      <c r="CD424" s="25">
        <v>361301</v>
      </c>
      <c r="CE424" s="25">
        <v>355454</v>
      </c>
      <c r="CF424" s="25">
        <v>356154</v>
      </c>
      <c r="CG424" s="25">
        <v>342836</v>
      </c>
      <c r="CH424" s="25">
        <v>334047</v>
      </c>
      <c r="CI424" s="25">
        <v>310502</v>
      </c>
      <c r="CJ424" s="25">
        <v>301637</v>
      </c>
      <c r="CK424" s="25">
        <v>258156</v>
      </c>
      <c r="CL424" s="25">
        <v>262745</v>
      </c>
      <c r="CM424" s="25">
        <v>0</v>
      </c>
      <c r="CN424" s="25">
        <v>144</v>
      </c>
      <c r="CO424" s="25">
        <v>144</v>
      </c>
    </row>
    <row r="425" spans="63:93" ht="19" customHeight="1" x14ac:dyDescent="0.35">
      <c r="BK425" s="1" t="str">
        <f t="shared" si="107"/>
        <v>CEMIG GT|PASSIVO|NÃO CIRCULANTE|Encargos regulatórios</v>
      </c>
      <c r="BM425" s="392"/>
      <c r="BO425" s="6" t="s">
        <v>295</v>
      </c>
      <c r="BP425" s="25">
        <v>2940</v>
      </c>
      <c r="BQ425" s="25">
        <v>2800</v>
      </c>
      <c r="BR425" s="25">
        <v>2149</v>
      </c>
      <c r="BS425" s="25">
        <v>2129</v>
      </c>
      <c r="BT425" s="25">
        <v>4297</v>
      </c>
      <c r="BU425" s="25">
        <v>3770</v>
      </c>
      <c r="BV425" s="25">
        <v>9346</v>
      </c>
      <c r="BW425" s="25">
        <v>9548</v>
      </c>
      <c r="BX425" s="25">
        <v>9023</v>
      </c>
      <c r="BY425" s="25">
        <v>6445</v>
      </c>
      <c r="BZ425" s="25">
        <v>4564</v>
      </c>
      <c r="CA425" s="25">
        <v>3982</v>
      </c>
      <c r="CB425" s="25">
        <v>3552</v>
      </c>
      <c r="CC425" s="25">
        <v>4893</v>
      </c>
      <c r="CD425" s="25">
        <v>5299</v>
      </c>
      <c r="CE425" s="25">
        <v>4862</v>
      </c>
      <c r="CF425" s="25">
        <v>4407</v>
      </c>
      <c r="CG425" s="25">
        <v>3901</v>
      </c>
      <c r="CH425" s="25">
        <v>2541</v>
      </c>
      <c r="CI425" s="25">
        <v>2327</v>
      </c>
      <c r="CJ425" s="25">
        <v>2748</v>
      </c>
      <c r="CK425" s="25">
        <v>3585</v>
      </c>
      <c r="CL425" s="25">
        <v>56953</v>
      </c>
      <c r="CM425" s="25">
        <v>60027</v>
      </c>
      <c r="CN425" s="25">
        <v>55043</v>
      </c>
      <c r="CO425" s="25">
        <v>53236</v>
      </c>
    </row>
    <row r="426" spans="63:93" ht="19" customHeight="1" x14ac:dyDescent="0.35">
      <c r="BK426" s="1" t="str">
        <f t="shared" si="107"/>
        <v>CEMIG GT|PASSIVO|NÃO CIRCULANTE|Obrigações pós-emprego</v>
      </c>
      <c r="BM426" s="392"/>
      <c r="BO426" s="6" t="s">
        <v>111</v>
      </c>
      <c r="BP426" s="25">
        <v>317218</v>
      </c>
      <c r="BQ426" s="25">
        <v>321056</v>
      </c>
      <c r="BR426" s="25">
        <v>322268</v>
      </c>
      <c r="BS426" s="25">
        <v>829953</v>
      </c>
      <c r="BT426" s="25">
        <v>847130</v>
      </c>
      <c r="BU426" s="25">
        <v>839521</v>
      </c>
      <c r="BV426" s="25">
        <v>837998</v>
      </c>
      <c r="BW426" s="25">
        <v>1073304</v>
      </c>
      <c r="BX426" s="25">
        <v>1065503</v>
      </c>
      <c r="BY426" s="25">
        <v>1062633</v>
      </c>
      <c r="BZ426" s="25">
        <v>1050844</v>
      </c>
      <c r="CA426" s="25">
        <v>1102333</v>
      </c>
      <c r="CB426" s="25">
        <v>1087912</v>
      </c>
      <c r="CC426" s="25">
        <v>1084530</v>
      </c>
      <c r="CD426" s="25">
        <v>1112069</v>
      </c>
      <c r="CE426" s="25">
        <v>1254241</v>
      </c>
      <c r="CF426" s="25">
        <v>1247322</v>
      </c>
      <c r="CG426" s="25">
        <v>1241447</v>
      </c>
      <c r="CH426" s="25">
        <v>1231957</v>
      </c>
      <c r="CI426" s="25">
        <v>1397967</v>
      </c>
      <c r="CJ426" s="25">
        <v>1396224</v>
      </c>
      <c r="CK426" s="25">
        <v>1394061</v>
      </c>
      <c r="CL426" s="25">
        <v>1391479</v>
      </c>
      <c r="CM426" s="25">
        <v>1389939</v>
      </c>
      <c r="CN426" s="25">
        <v>1390903</v>
      </c>
      <c r="CO426" s="25">
        <v>1378408</v>
      </c>
    </row>
    <row r="427" spans="63:93" ht="19" customHeight="1" x14ac:dyDescent="0.35">
      <c r="BK427" s="1" t="str">
        <f t="shared" si="107"/>
        <v>CEMIG GT|PASSIVO|NÃO CIRCULANTE|Provisões para contingências</v>
      </c>
      <c r="BO427" s="6" t="s">
        <v>114</v>
      </c>
      <c r="BP427" s="25">
        <v>636899</v>
      </c>
      <c r="BQ427" s="25">
        <v>436125</v>
      </c>
      <c r="BR427" s="25">
        <v>438572</v>
      </c>
      <c r="BS427" s="25">
        <v>391779</v>
      </c>
      <c r="BT427" s="25">
        <v>459925</v>
      </c>
      <c r="BU427" s="25">
        <v>451778</v>
      </c>
      <c r="BV427" s="25">
        <v>444327</v>
      </c>
      <c r="BW427" s="25">
        <v>409050</v>
      </c>
      <c r="BX427" s="25">
        <v>411806</v>
      </c>
      <c r="BY427" s="25">
        <v>431421</v>
      </c>
      <c r="BZ427" s="25">
        <v>423574</v>
      </c>
      <c r="CA427" s="25">
        <v>413618</v>
      </c>
      <c r="CB427" s="25">
        <v>406605</v>
      </c>
      <c r="CC427" s="25">
        <v>397885</v>
      </c>
      <c r="CD427" s="25">
        <v>397040</v>
      </c>
      <c r="CE427" s="25">
        <v>439929</v>
      </c>
      <c r="CF427" s="25">
        <v>460315</v>
      </c>
      <c r="CG427" s="25">
        <v>449005</v>
      </c>
      <c r="CH427" s="25">
        <v>438043</v>
      </c>
      <c r="CI427" s="25">
        <v>433876</v>
      </c>
      <c r="CJ427" s="25">
        <v>430735</v>
      </c>
      <c r="CK427" s="25">
        <v>426183</v>
      </c>
      <c r="CL427" s="25">
        <v>418548</v>
      </c>
      <c r="CM427" s="25">
        <v>414087</v>
      </c>
      <c r="CN427" s="25">
        <v>411641</v>
      </c>
      <c r="CO427" s="25">
        <v>404957</v>
      </c>
    </row>
    <row r="428" spans="63:93" ht="19" customHeight="1" x14ac:dyDescent="0.35">
      <c r="BK428" s="1" t="str">
        <f t="shared" si="107"/>
        <v>CEMIG GT|PASSIVO|NÃO CIRCULANTE|Indenização compensatória</v>
      </c>
      <c r="BM428" s="392"/>
      <c r="BO428" s="6" t="s">
        <v>301</v>
      </c>
      <c r="BP428" s="25">
        <v>141194</v>
      </c>
      <c r="BQ428" s="25">
        <v>141194</v>
      </c>
      <c r="BR428" s="25">
        <v>188834</v>
      </c>
      <c r="BS428" s="25">
        <v>0</v>
      </c>
      <c r="BT428" s="25">
        <v>0</v>
      </c>
      <c r="BU428" s="25">
        <v>0</v>
      </c>
      <c r="BV428" s="25">
        <v>0</v>
      </c>
      <c r="BW428" s="25">
        <v>0</v>
      </c>
      <c r="BX428" s="25">
        <v>0</v>
      </c>
      <c r="BY428" s="25">
        <v>0</v>
      </c>
      <c r="BZ428" s="25">
        <v>0</v>
      </c>
      <c r="CA428" s="25">
        <v>0</v>
      </c>
      <c r="CB428" s="25">
        <v>0</v>
      </c>
      <c r="CC428" s="25">
        <v>0</v>
      </c>
      <c r="CD428" s="25">
        <v>0</v>
      </c>
      <c r="CE428" s="25">
        <v>0</v>
      </c>
      <c r="CF428" s="25">
        <v>0</v>
      </c>
      <c r="CG428" s="25">
        <v>0</v>
      </c>
      <c r="CH428" s="25">
        <v>0</v>
      </c>
      <c r="CI428" s="25">
        <v>0</v>
      </c>
      <c r="CJ428" s="25">
        <v>0</v>
      </c>
      <c r="CK428" s="25">
        <v>0</v>
      </c>
      <c r="CL428" s="25">
        <v>0</v>
      </c>
      <c r="CM428" s="25">
        <v>0</v>
      </c>
      <c r="CN428" s="25">
        <v>0</v>
      </c>
      <c r="CO428" s="25">
        <v>0</v>
      </c>
    </row>
    <row r="429" spans="63:93" ht="19" customHeight="1" x14ac:dyDescent="0.35">
      <c r="BK429" s="1" t="str">
        <f t="shared" si="107"/>
        <v>CEMIG GT|PASSIVO|NÃO CIRCULANTE|Opções de venda</v>
      </c>
      <c r="BM429" s="392"/>
      <c r="BO429" s="6" t="s">
        <v>335</v>
      </c>
      <c r="BP429" s="25">
        <v>0</v>
      </c>
      <c r="BQ429" s="25">
        <v>0</v>
      </c>
      <c r="BR429" s="25">
        <v>0</v>
      </c>
      <c r="BS429" s="25">
        <v>0</v>
      </c>
      <c r="BT429" s="25">
        <v>0</v>
      </c>
      <c r="BU429" s="25">
        <v>0</v>
      </c>
      <c r="BV429" s="25">
        <v>0</v>
      </c>
      <c r="BW429" s="25">
        <v>0</v>
      </c>
      <c r="BX429" s="25">
        <v>0</v>
      </c>
      <c r="BY429" s="25">
        <v>0</v>
      </c>
      <c r="BZ429" s="25">
        <v>0</v>
      </c>
      <c r="CA429" s="25">
        <v>0</v>
      </c>
      <c r="CB429" s="25">
        <v>0</v>
      </c>
      <c r="CC429" s="25">
        <v>0</v>
      </c>
      <c r="CD429" s="25">
        <v>0</v>
      </c>
      <c r="CE429" s="25">
        <v>0</v>
      </c>
      <c r="CF429" s="25">
        <v>0</v>
      </c>
      <c r="CG429" s="25">
        <v>0</v>
      </c>
      <c r="CH429" s="25">
        <v>0</v>
      </c>
      <c r="CI429" s="25">
        <v>0</v>
      </c>
      <c r="CJ429" s="25">
        <v>0</v>
      </c>
      <c r="CK429" s="25">
        <v>0</v>
      </c>
      <c r="CL429" s="25">
        <v>0</v>
      </c>
      <c r="CM429" s="25">
        <v>0</v>
      </c>
      <c r="CN429" s="25">
        <v>505641</v>
      </c>
      <c r="CO429" s="25">
        <v>503653</v>
      </c>
    </row>
    <row r="430" spans="63:93" ht="19" customHeight="1" x14ac:dyDescent="0.35">
      <c r="BK430" s="1" t="str">
        <f t="shared" si="107"/>
        <v>CEMIG GT|PASSIVO|NÃO CIRCULANTE|Passivo de arrendamentos</v>
      </c>
      <c r="BM430" s="390"/>
      <c r="BO430" s="6" t="s">
        <v>334</v>
      </c>
      <c r="BP430" s="25">
        <v>113804</v>
      </c>
      <c r="BQ430" s="25">
        <v>116732</v>
      </c>
      <c r="BR430" s="25">
        <v>119654</v>
      </c>
      <c r="BS430" s="25">
        <v>65948</v>
      </c>
      <c r="BT430" s="25">
        <v>66196</v>
      </c>
      <c r="BU430" s="25">
        <v>68517</v>
      </c>
      <c r="BV430" s="25">
        <v>71110</v>
      </c>
      <c r="BW430" s="25">
        <v>61570</v>
      </c>
      <c r="BX430" s="25">
        <v>63957</v>
      </c>
      <c r="BY430" s="25">
        <v>70653</v>
      </c>
      <c r="BZ430" s="25">
        <v>67450</v>
      </c>
      <c r="CA430" s="25">
        <v>66789</v>
      </c>
      <c r="CB430" s="25">
        <v>68287</v>
      </c>
      <c r="CC430" s="25">
        <v>57301</v>
      </c>
      <c r="CD430" s="25">
        <v>52474</v>
      </c>
      <c r="CE430" s="25">
        <v>41599</v>
      </c>
      <c r="CF430" s="25">
        <v>35472</v>
      </c>
      <c r="CG430" s="25">
        <v>35548</v>
      </c>
      <c r="CH430" s="25">
        <v>35621</v>
      </c>
      <c r="CI430" s="25">
        <v>35750</v>
      </c>
      <c r="CJ430" s="25">
        <v>32680</v>
      </c>
      <c r="CK430" s="25">
        <v>35167</v>
      </c>
      <c r="CL430" s="25">
        <v>35841</v>
      </c>
      <c r="CM430" s="25">
        <v>35102</v>
      </c>
      <c r="CN430" s="25">
        <v>34960</v>
      </c>
      <c r="CO430" s="25">
        <v>36585</v>
      </c>
    </row>
    <row r="431" spans="63:93" ht="19" customHeight="1" x14ac:dyDescent="0.35">
      <c r="BK431" s="1" t="str">
        <f t="shared" si="107"/>
        <v>CEMIG GT|PASSIVO|NÃO CIRCULANTE|Outros passivos</v>
      </c>
      <c r="BM431" s="392"/>
      <c r="BO431" s="6" t="s">
        <v>306</v>
      </c>
      <c r="BP431" s="25">
        <v>84737</v>
      </c>
      <c r="BQ431" s="25">
        <v>108069</v>
      </c>
      <c r="BR431" s="25">
        <v>99736</v>
      </c>
      <c r="BS431" s="25">
        <v>92173</v>
      </c>
      <c r="BT431" s="25">
        <v>91310</v>
      </c>
      <c r="BU431" s="25">
        <v>108688</v>
      </c>
      <c r="BV431" s="25">
        <v>105459</v>
      </c>
      <c r="BW431" s="25">
        <v>100943</v>
      </c>
      <c r="BX431" s="25">
        <v>91296</v>
      </c>
      <c r="BY431" s="25">
        <v>89513</v>
      </c>
      <c r="BZ431" s="25">
        <v>89016</v>
      </c>
      <c r="CA431" s="25">
        <v>101431</v>
      </c>
      <c r="CB431" s="25">
        <v>146458</v>
      </c>
      <c r="CC431" s="25">
        <v>145030</v>
      </c>
      <c r="CD431" s="25">
        <v>145175</v>
      </c>
      <c r="CE431" s="25">
        <v>146836</v>
      </c>
      <c r="CF431" s="25">
        <v>143517</v>
      </c>
      <c r="CG431" s="25">
        <v>139217</v>
      </c>
      <c r="CH431" s="25">
        <v>135397</v>
      </c>
      <c r="CI431" s="25">
        <v>140859</v>
      </c>
      <c r="CJ431" s="25">
        <v>141747</v>
      </c>
      <c r="CK431" s="25">
        <v>134499</v>
      </c>
      <c r="CL431" s="25">
        <v>129211</v>
      </c>
      <c r="CM431" s="25">
        <v>59424</v>
      </c>
      <c r="CN431" s="25">
        <v>52623</v>
      </c>
      <c r="CO431" s="25">
        <v>40450</v>
      </c>
    </row>
    <row r="432" spans="63:93" ht="28" customHeight="1" x14ac:dyDescent="0.35">
      <c r="BK432" s="81" t="str">
        <f t="shared" ref="BK432" si="108">BO432</f>
        <v>TOTAL DO PASSIVO</v>
      </c>
      <c r="BL432" s="81"/>
      <c r="BO432" s="39" t="s">
        <v>240</v>
      </c>
      <c r="BP432" s="80">
        <f t="shared" ref="BP432:CO432" si="109">IFERROR(SUM(BP421,BP407),0)</f>
        <v>9952275</v>
      </c>
      <c r="BQ432" s="80">
        <f t="shared" si="109"/>
        <v>8417728</v>
      </c>
      <c r="BR432" s="80">
        <f t="shared" si="109"/>
        <v>8260563</v>
      </c>
      <c r="BS432" s="80">
        <f t="shared" si="109"/>
        <v>7476525</v>
      </c>
      <c r="BT432" s="80">
        <f t="shared" si="109"/>
        <v>7058172</v>
      </c>
      <c r="BU432" s="80">
        <f t="shared" si="109"/>
        <v>6560590</v>
      </c>
      <c r="BV432" s="80">
        <f t="shared" si="109"/>
        <v>5999292</v>
      </c>
      <c r="BW432" s="80">
        <f t="shared" si="109"/>
        <v>8542586</v>
      </c>
      <c r="BX432" s="80">
        <f t="shared" si="109"/>
        <v>7876046</v>
      </c>
      <c r="BY432" s="80">
        <f t="shared" si="109"/>
        <v>8220116</v>
      </c>
      <c r="BZ432" s="80">
        <f t="shared" si="109"/>
        <v>8417967</v>
      </c>
      <c r="CA432" s="80">
        <f t="shared" si="109"/>
        <v>9894803</v>
      </c>
      <c r="CB432" s="80">
        <f t="shared" si="109"/>
        <v>9540852</v>
      </c>
      <c r="CC432" s="80">
        <f t="shared" si="109"/>
        <v>10616219</v>
      </c>
      <c r="CD432" s="80">
        <f t="shared" si="109"/>
        <v>11096184</v>
      </c>
      <c r="CE432" s="80">
        <f t="shared" si="109"/>
        <v>11036756</v>
      </c>
      <c r="CF432" s="80">
        <f t="shared" si="109"/>
        <v>10691320</v>
      </c>
      <c r="CG432" s="80">
        <f t="shared" si="109"/>
        <v>10518298</v>
      </c>
      <c r="CH432" s="80">
        <f t="shared" si="109"/>
        <v>11595320</v>
      </c>
      <c r="CI432" s="80">
        <f t="shared" si="109"/>
        <v>11384946</v>
      </c>
      <c r="CJ432" s="80">
        <f t="shared" si="109"/>
        <v>13179252</v>
      </c>
      <c r="CK432" s="80">
        <f t="shared" si="109"/>
        <v>14470654</v>
      </c>
      <c r="CL432" s="80">
        <f t="shared" si="109"/>
        <v>14613694</v>
      </c>
      <c r="CM432" s="80">
        <f t="shared" si="109"/>
        <v>14741063</v>
      </c>
      <c r="CN432" s="80">
        <f t="shared" si="109"/>
        <v>14342395</v>
      </c>
      <c r="CO432" s="80">
        <f t="shared" si="109"/>
        <v>13828824</v>
      </c>
    </row>
    <row r="433" spans="63:93" ht="19" customHeight="1" x14ac:dyDescent="0.35">
      <c r="BK433" s="81"/>
      <c r="BL433" s="81"/>
      <c r="BP433" s="27"/>
      <c r="BQ433" s="27"/>
      <c r="BR433" s="27"/>
    </row>
    <row r="434" spans="63:93" ht="35.15" customHeight="1" x14ac:dyDescent="0.35">
      <c r="BK434" s="81" t="str">
        <f>BO434</f>
        <v>PATRIMÔNIO LÍQUIDO</v>
      </c>
      <c r="BL434" s="81"/>
      <c r="BO434" s="166" t="s">
        <v>242</v>
      </c>
      <c r="BP434" s="166" t="str">
        <f t="shared" ref="BP434:CO434" si="110">BP371</f>
        <v>jun | 2026</v>
      </c>
      <c r="BQ434" s="166" t="str">
        <f t="shared" si="110"/>
        <v>mar | 2026</v>
      </c>
      <c r="BR434" s="166" t="str">
        <f t="shared" si="110"/>
        <v>dez | 2025</v>
      </c>
      <c r="BS434" s="166" t="str">
        <f t="shared" si="110"/>
        <v>set | 2025</v>
      </c>
      <c r="BT434" s="166" t="str">
        <f t="shared" si="110"/>
        <v>jun | 2025</v>
      </c>
      <c r="BU434" s="166" t="str">
        <f t="shared" si="110"/>
        <v>mar | 2025</v>
      </c>
      <c r="BV434" s="166" t="str">
        <f t="shared" si="110"/>
        <v>dez | 2024</v>
      </c>
      <c r="BW434" s="166" t="str">
        <f t="shared" si="110"/>
        <v>set | 2024</v>
      </c>
      <c r="BX434" s="166" t="str">
        <f t="shared" si="110"/>
        <v>jun | 2024</v>
      </c>
      <c r="BY434" s="166" t="str">
        <f t="shared" si="110"/>
        <v>mar | 2024</v>
      </c>
      <c r="BZ434" s="166" t="str">
        <f t="shared" si="110"/>
        <v>dez | 2023</v>
      </c>
      <c r="CA434" s="166" t="str">
        <f t="shared" si="110"/>
        <v>set | 2023</v>
      </c>
      <c r="CB434" s="166" t="str">
        <f t="shared" si="110"/>
        <v>jun | 2023</v>
      </c>
      <c r="CC434" s="166" t="str">
        <f t="shared" si="110"/>
        <v>mar | 2023</v>
      </c>
      <c r="CD434" s="166" t="str">
        <f t="shared" si="110"/>
        <v>dez | 2022</v>
      </c>
      <c r="CE434" s="166" t="str">
        <f t="shared" si="110"/>
        <v>set | 2022</v>
      </c>
      <c r="CF434" s="166" t="str">
        <f t="shared" si="110"/>
        <v>jun | 2022</v>
      </c>
      <c r="CG434" s="166" t="str">
        <f t="shared" si="110"/>
        <v>mar | 2022</v>
      </c>
      <c r="CH434" s="166" t="str">
        <f t="shared" si="110"/>
        <v>dez | 2021</v>
      </c>
      <c r="CI434" s="166" t="str">
        <f t="shared" si="110"/>
        <v>set | 2021</v>
      </c>
      <c r="CJ434" s="166" t="str">
        <f t="shared" si="110"/>
        <v>jun | 2021</v>
      </c>
      <c r="CK434" s="166" t="str">
        <f t="shared" si="110"/>
        <v>mar | 2021</v>
      </c>
      <c r="CL434" s="166" t="str">
        <f t="shared" si="110"/>
        <v>dez | 2020</v>
      </c>
      <c r="CM434" s="166" t="str">
        <f t="shared" si="110"/>
        <v>set | 2020</v>
      </c>
      <c r="CN434" s="166" t="str">
        <f t="shared" si="110"/>
        <v>jun | 2020</v>
      </c>
      <c r="CO434" s="166" t="str">
        <f t="shared" si="110"/>
        <v>mar | 2020</v>
      </c>
    </row>
    <row r="435" spans="63:93" ht="19" customHeight="1" x14ac:dyDescent="0.35">
      <c r="BK435" s="1" t="str">
        <f>_xlfn.CONCAT($BO$369,"|",$BO$434,"|",BO435)</f>
        <v>CEMIG GT|PATRIMÔNIO LÍQUIDO|Capital social</v>
      </c>
      <c r="BM435" s="392"/>
      <c r="BO435" s="6" t="s">
        <v>310</v>
      </c>
      <c r="BP435" s="25">
        <v>5473724</v>
      </c>
      <c r="BQ435" s="25">
        <v>5473724</v>
      </c>
      <c r="BR435" s="25">
        <v>5473724</v>
      </c>
      <c r="BS435" s="25">
        <v>5473724</v>
      </c>
      <c r="BT435" s="25">
        <v>5473724</v>
      </c>
      <c r="BU435" s="25">
        <v>5473724</v>
      </c>
      <c r="BV435" s="25">
        <v>5473724</v>
      </c>
      <c r="BW435" s="25">
        <v>5473724</v>
      </c>
      <c r="BX435" s="25">
        <v>5473724</v>
      </c>
      <c r="BY435" s="25">
        <v>5473724</v>
      </c>
      <c r="BZ435" s="25">
        <v>5473724</v>
      </c>
      <c r="CA435" s="25">
        <v>5473724</v>
      </c>
      <c r="CB435" s="25">
        <v>5473724</v>
      </c>
      <c r="CC435" s="25">
        <v>5473724</v>
      </c>
      <c r="CD435" s="25">
        <v>5473724</v>
      </c>
      <c r="CE435" s="25">
        <v>4123724</v>
      </c>
      <c r="CF435" s="25">
        <v>4123724</v>
      </c>
      <c r="CG435" s="25">
        <v>4123724</v>
      </c>
      <c r="CH435" s="25">
        <v>4123724</v>
      </c>
      <c r="CI435" s="25">
        <v>4000000</v>
      </c>
      <c r="CJ435" s="25">
        <v>4000000</v>
      </c>
      <c r="CK435" s="25">
        <v>4000000</v>
      </c>
      <c r="CL435" s="25">
        <v>4000000</v>
      </c>
      <c r="CM435" s="25">
        <v>4000000</v>
      </c>
      <c r="CN435" s="25">
        <v>2600000</v>
      </c>
      <c r="CO435" s="25">
        <v>2600000</v>
      </c>
    </row>
    <row r="436" spans="63:93" ht="19" customHeight="1" x14ac:dyDescent="0.35">
      <c r="BK436" s="1" t="str">
        <f>_xlfn.CONCAT($BO$369,"|",$BO$434,"|",BO436)</f>
        <v>CEMIG GT|PATRIMÔNIO LÍQUIDO|Reservas de lucros</v>
      </c>
      <c r="BM436" s="392"/>
      <c r="BO436" s="6" t="s">
        <v>312</v>
      </c>
      <c r="BP436" s="25">
        <v>5028555</v>
      </c>
      <c r="BQ436" s="25">
        <v>5314373</v>
      </c>
      <c r="BR436" s="25">
        <v>5314373</v>
      </c>
      <c r="BS436" s="25">
        <v>4711540</v>
      </c>
      <c r="BT436" s="25">
        <v>4711540</v>
      </c>
      <c r="BU436" s="25">
        <v>6206007</v>
      </c>
      <c r="BV436" s="25">
        <v>6206007</v>
      </c>
      <c r="BW436" s="25">
        <v>4460605</v>
      </c>
      <c r="BX436" s="25">
        <v>4460605</v>
      </c>
      <c r="BY436" s="25">
        <v>4510298</v>
      </c>
      <c r="BZ436" s="25">
        <v>4733233</v>
      </c>
      <c r="CA436" s="25">
        <v>3630532</v>
      </c>
      <c r="CB436" s="25">
        <v>3630532</v>
      </c>
      <c r="CC436" s="25">
        <v>3628085</v>
      </c>
      <c r="CD436" s="25">
        <v>3628085</v>
      </c>
      <c r="CE436" s="25">
        <v>2464672</v>
      </c>
      <c r="CF436" s="25">
        <v>2464672</v>
      </c>
      <c r="CG436" s="25">
        <v>2464672</v>
      </c>
      <c r="CH436" s="25">
        <v>2464672</v>
      </c>
      <c r="CI436" s="25">
        <v>2072877</v>
      </c>
      <c r="CJ436" s="25">
        <v>2072877</v>
      </c>
      <c r="CK436" s="25">
        <v>2072877</v>
      </c>
      <c r="CL436" s="25">
        <v>2072877</v>
      </c>
      <c r="CM436" s="25">
        <v>1358087</v>
      </c>
      <c r="CN436" s="25">
        <v>2758087</v>
      </c>
      <c r="CO436" s="25">
        <v>2758086</v>
      </c>
    </row>
    <row r="437" spans="63:93" ht="19" customHeight="1" x14ac:dyDescent="0.35">
      <c r="BK437" s="1" t="str">
        <f>_xlfn.CONCAT($BO$369,"|",$BO$434,"|",BO437)</f>
        <v>CEMIG GT|PATRIMÔNIO LÍQUIDO|Ajustes de avaliação patrimonial</v>
      </c>
      <c r="BM437" s="392"/>
      <c r="BO437" s="6" t="s">
        <v>313</v>
      </c>
      <c r="BP437" s="25">
        <v>92264</v>
      </c>
      <c r="BQ437" s="25">
        <v>91009</v>
      </c>
      <c r="BR437" s="25">
        <v>104348</v>
      </c>
      <c r="BS437" s="25">
        <v>-9648</v>
      </c>
      <c r="BT437" s="25">
        <v>-15187</v>
      </c>
      <c r="BU437" s="25">
        <v>-7838</v>
      </c>
      <c r="BV437" s="25">
        <v>-14687</v>
      </c>
      <c r="BW437" s="25">
        <v>-169502</v>
      </c>
      <c r="BX437" s="25">
        <v>-169526</v>
      </c>
      <c r="BY437" s="25">
        <v>-168055</v>
      </c>
      <c r="BZ437" s="25">
        <v>-160311</v>
      </c>
      <c r="CA437" s="25">
        <v>-198921</v>
      </c>
      <c r="CB437" s="25">
        <v>-197458</v>
      </c>
      <c r="CC437" s="25">
        <v>-202077</v>
      </c>
      <c r="CD437" s="25">
        <v>-208999</v>
      </c>
      <c r="CE437" s="25">
        <v>-301761</v>
      </c>
      <c r="CF437" s="25">
        <v>-299949</v>
      </c>
      <c r="CG437" s="25">
        <v>-184764</v>
      </c>
      <c r="CH437" s="25">
        <v>-182942</v>
      </c>
      <c r="CI437" s="25">
        <v>-236975</v>
      </c>
      <c r="CJ437" s="25">
        <v>-234709</v>
      </c>
      <c r="CK437" s="25">
        <v>-233284</v>
      </c>
      <c r="CL437" s="25">
        <v>-230706</v>
      </c>
      <c r="CM437" s="25">
        <v>-228235</v>
      </c>
      <c r="CN437" s="25">
        <v>-225436</v>
      </c>
      <c r="CO437" s="25">
        <v>-222434</v>
      </c>
    </row>
    <row r="438" spans="63:93" ht="19" customHeight="1" x14ac:dyDescent="0.35">
      <c r="BK438" s="1" t="str">
        <f>_xlfn.CONCAT($BO$369,"|",$BO$434,"|",BO438)</f>
        <v>CEMIG GT|PATRIMÔNIO LÍQUIDO|Adiantamento para futuro aumento de capital</v>
      </c>
      <c r="BO438" s="6" t="s">
        <v>336</v>
      </c>
      <c r="BP438" s="25">
        <v>0</v>
      </c>
      <c r="BQ438" s="25">
        <v>0</v>
      </c>
      <c r="BR438" s="25">
        <v>0</v>
      </c>
      <c r="BS438" s="25">
        <v>0</v>
      </c>
      <c r="BT438" s="25">
        <v>0</v>
      </c>
      <c r="BU438" s="25">
        <v>0</v>
      </c>
      <c r="BV438" s="25">
        <v>0</v>
      </c>
      <c r="BW438" s="25">
        <v>0</v>
      </c>
      <c r="BX438" s="25">
        <v>0</v>
      </c>
      <c r="BY438" s="25">
        <v>0</v>
      </c>
      <c r="BZ438" s="25">
        <v>0</v>
      </c>
      <c r="CA438" s="25">
        <v>0</v>
      </c>
      <c r="CB438" s="25">
        <v>0</v>
      </c>
      <c r="CC438" s="25">
        <v>0</v>
      </c>
      <c r="CD438" s="25">
        <v>0</v>
      </c>
      <c r="CE438" s="25">
        <v>1350000</v>
      </c>
      <c r="CF438" s="25">
        <v>1350000</v>
      </c>
      <c r="CG438" s="25">
        <v>1350000</v>
      </c>
      <c r="CH438" s="25">
        <v>1350000</v>
      </c>
      <c r="CI438" s="25">
        <v>1350000</v>
      </c>
      <c r="CJ438" s="25">
        <v>0</v>
      </c>
      <c r="CK438" s="25">
        <v>0</v>
      </c>
      <c r="CL438" s="25">
        <v>0</v>
      </c>
      <c r="CM438" s="25">
        <v>0</v>
      </c>
      <c r="CN438" s="25">
        <v>0</v>
      </c>
      <c r="CO438" s="25">
        <v>0</v>
      </c>
    </row>
    <row r="439" spans="63:93" ht="19" customHeight="1" x14ac:dyDescent="0.35">
      <c r="BK439" s="1" t="str">
        <f>_xlfn.CONCAT($BO$369,"|",$BO$434,"|",BO439)</f>
        <v>CEMIG GT|PATRIMÔNIO LÍQUIDO|Lucros acumulados</v>
      </c>
      <c r="BM439" s="390"/>
      <c r="BO439" s="19" t="s">
        <v>314</v>
      </c>
      <c r="BP439" s="25">
        <v>196885</v>
      </c>
      <c r="BQ439" s="25">
        <v>157083</v>
      </c>
      <c r="BR439" s="25">
        <v>0</v>
      </c>
      <c r="BS439" s="25">
        <v>558335</v>
      </c>
      <c r="BT439" s="25">
        <v>404441</v>
      </c>
      <c r="BU439" s="25">
        <v>319622</v>
      </c>
      <c r="BV439" s="25">
        <v>0</v>
      </c>
      <c r="BW439" s="25">
        <v>2752867</v>
      </c>
      <c r="BX439" s="25">
        <v>501181</v>
      </c>
      <c r="BY439" s="25">
        <v>340231</v>
      </c>
      <c r="BZ439" s="25">
        <v>0</v>
      </c>
      <c r="CA439" s="25">
        <v>1067075</v>
      </c>
      <c r="CB439" s="25">
        <v>736284</v>
      </c>
      <c r="CC439" s="25">
        <v>447960</v>
      </c>
      <c r="CD439" s="25">
        <v>0</v>
      </c>
      <c r="CE439" s="25">
        <v>1773465</v>
      </c>
      <c r="CF439" s="25">
        <v>1520411</v>
      </c>
      <c r="CG439" s="25">
        <v>815336</v>
      </c>
      <c r="CH439" s="25">
        <v>0</v>
      </c>
      <c r="CI439" s="25">
        <v>793432</v>
      </c>
      <c r="CJ439" s="25">
        <v>1001825</v>
      </c>
      <c r="CK439" s="25">
        <v>-308795</v>
      </c>
      <c r="CL439" s="25">
        <v>0</v>
      </c>
      <c r="CM439" s="25">
        <v>374328</v>
      </c>
      <c r="CN439" s="25">
        <v>368524</v>
      </c>
      <c r="CO439" s="25">
        <v>-3488</v>
      </c>
    </row>
    <row r="440" spans="63:93" ht="28" customHeight="1" x14ac:dyDescent="0.35">
      <c r="BO440" s="39" t="s">
        <v>243</v>
      </c>
      <c r="BP440" s="80">
        <f t="shared" ref="BP440:BQ440" si="111">IFERROR(SUM(BP435:BP439),0)</f>
        <v>10791428</v>
      </c>
      <c r="BQ440" s="80">
        <f t="shared" si="111"/>
        <v>11036189</v>
      </c>
      <c r="BR440" s="80">
        <f>IFERROR(SUM(BR435:BR439),0)</f>
        <v>10892445</v>
      </c>
      <c r="BS440" s="80">
        <f t="shared" ref="BS440" si="112">IFERROR(SUM(BS435:BS439),0)</f>
        <v>10733951</v>
      </c>
      <c r="BT440" s="80">
        <f t="shared" ref="BT440" si="113">IFERROR(SUM(BT435:BT439),0)</f>
        <v>10574518</v>
      </c>
      <c r="BU440" s="80">
        <f t="shared" ref="BU440" si="114">IFERROR(SUM(BU435:BU439),0)</f>
        <v>11991515</v>
      </c>
      <c r="BV440" s="80">
        <f t="shared" ref="BV440" si="115">IFERROR(SUM(BV435:BV439),0)</f>
        <v>11665044</v>
      </c>
      <c r="BW440" s="80">
        <f t="shared" ref="BW440" si="116">IFERROR(SUM(BW435:BW439),0)</f>
        <v>12517694</v>
      </c>
      <c r="BX440" s="80">
        <f t="shared" ref="BX440" si="117">IFERROR(SUM(BX435:BX439),0)</f>
        <v>10265984</v>
      </c>
      <c r="BY440" s="80">
        <f t="shared" ref="BY440" si="118">IFERROR(SUM(BY435:BY439),0)</f>
        <v>10156198</v>
      </c>
      <c r="BZ440" s="80">
        <f t="shared" ref="BZ440" si="119">IFERROR(SUM(BZ435:BZ439),0)</f>
        <v>10046646</v>
      </c>
      <c r="CA440" s="80">
        <f t="shared" ref="CA440" si="120">IFERROR(SUM(CA435:CA439),0)</f>
        <v>9972410</v>
      </c>
      <c r="CB440" s="80">
        <f t="shared" ref="CB440" si="121">IFERROR(SUM(CB435:CB439),0)</f>
        <v>9643082</v>
      </c>
      <c r="CC440" s="80">
        <f t="shared" ref="CC440" si="122">IFERROR(SUM(CC435:CC439),0)</f>
        <v>9347692</v>
      </c>
      <c r="CD440" s="80">
        <f t="shared" ref="CD440" si="123">IFERROR(SUM(CD435:CD439),0)</f>
        <v>8892810</v>
      </c>
      <c r="CE440" s="80">
        <f t="shared" ref="CE440" si="124">IFERROR(SUM(CE435:CE439),0)</f>
        <v>9410100</v>
      </c>
      <c r="CF440" s="80">
        <f t="shared" ref="CF440" si="125">IFERROR(SUM(CF435:CF439),0)</f>
        <v>9158858</v>
      </c>
      <c r="CG440" s="80">
        <f t="shared" ref="CG440" si="126">IFERROR(SUM(CG435:CG439),0)</f>
        <v>8568968</v>
      </c>
      <c r="CH440" s="80">
        <f t="shared" ref="CH440" si="127">IFERROR(SUM(CH435:CH439),0)</f>
        <v>7755454</v>
      </c>
      <c r="CI440" s="80">
        <f t="shared" ref="CI440" si="128">IFERROR(SUM(CI435:CI439),0)</f>
        <v>7979334</v>
      </c>
      <c r="CJ440" s="80">
        <f t="shared" ref="CJ440" si="129">IFERROR(SUM(CJ435:CJ439),0)</f>
        <v>6839993</v>
      </c>
      <c r="CK440" s="80">
        <f t="shared" ref="CK440" si="130">IFERROR(SUM(CK435:CK439),0)</f>
        <v>5530798</v>
      </c>
      <c r="CL440" s="80">
        <f t="shared" ref="CL440" si="131">IFERROR(SUM(CL435:CL439),0)</f>
        <v>5842171</v>
      </c>
      <c r="CM440" s="80">
        <f t="shared" ref="CM440" si="132">IFERROR(SUM(CM435:CM439),0)</f>
        <v>5504180</v>
      </c>
      <c r="CN440" s="80">
        <f t="shared" ref="CN440" si="133">IFERROR(SUM(CN435:CN439),0)</f>
        <v>5501175</v>
      </c>
      <c r="CO440" s="80">
        <f t="shared" ref="CO440" si="134">IFERROR(SUM(CO435:CO439),0)</f>
        <v>5132164</v>
      </c>
    </row>
    <row r="442" spans="63:93" ht="28" customHeight="1" x14ac:dyDescent="0.35">
      <c r="BO442" s="39" t="s">
        <v>244</v>
      </c>
      <c r="BP442" s="80">
        <f t="shared" ref="BP442:CO442" si="135">IFERROR(SUM(BP440,BP432),0)</f>
        <v>20743703</v>
      </c>
      <c r="BQ442" s="80">
        <f t="shared" si="135"/>
        <v>19453917</v>
      </c>
      <c r="BR442" s="80">
        <f t="shared" si="135"/>
        <v>19153008</v>
      </c>
      <c r="BS442" s="80">
        <f t="shared" si="135"/>
        <v>18210476</v>
      </c>
      <c r="BT442" s="80">
        <f t="shared" si="135"/>
        <v>17632690</v>
      </c>
      <c r="BU442" s="80">
        <f t="shared" si="135"/>
        <v>18552105</v>
      </c>
      <c r="BV442" s="80">
        <f t="shared" si="135"/>
        <v>17664336</v>
      </c>
      <c r="BW442" s="80">
        <f t="shared" si="135"/>
        <v>21060280</v>
      </c>
      <c r="BX442" s="80">
        <f t="shared" si="135"/>
        <v>18142030</v>
      </c>
      <c r="BY442" s="80">
        <f t="shared" si="135"/>
        <v>18376314</v>
      </c>
      <c r="BZ442" s="80">
        <f t="shared" si="135"/>
        <v>18464613</v>
      </c>
      <c r="CA442" s="80">
        <f t="shared" si="135"/>
        <v>19867213</v>
      </c>
      <c r="CB442" s="80">
        <f t="shared" si="135"/>
        <v>19183934</v>
      </c>
      <c r="CC442" s="80">
        <f t="shared" si="135"/>
        <v>19963911</v>
      </c>
      <c r="CD442" s="80">
        <f t="shared" si="135"/>
        <v>19988994</v>
      </c>
      <c r="CE442" s="80">
        <f t="shared" si="135"/>
        <v>20446856</v>
      </c>
      <c r="CF442" s="80">
        <f t="shared" si="135"/>
        <v>19850178</v>
      </c>
      <c r="CG442" s="80">
        <f t="shared" si="135"/>
        <v>19087266</v>
      </c>
      <c r="CH442" s="80">
        <f t="shared" si="135"/>
        <v>19350774</v>
      </c>
      <c r="CI442" s="80">
        <f t="shared" si="135"/>
        <v>19364280</v>
      </c>
      <c r="CJ442" s="80">
        <f t="shared" si="135"/>
        <v>20019245</v>
      </c>
      <c r="CK442" s="80">
        <f t="shared" si="135"/>
        <v>20001452</v>
      </c>
      <c r="CL442" s="80">
        <f t="shared" si="135"/>
        <v>20455865</v>
      </c>
      <c r="CM442" s="80">
        <f t="shared" si="135"/>
        <v>20245243</v>
      </c>
      <c r="CN442" s="80">
        <f t="shared" si="135"/>
        <v>19843570</v>
      </c>
      <c r="CO442" s="80">
        <f t="shared" si="135"/>
        <v>18960988</v>
      </c>
    </row>
    <row r="445" spans="63:93" ht="19" customHeight="1" x14ac:dyDescent="0.35">
      <c r="BO445" s="392"/>
    </row>
    <row r="446" spans="63:93" ht="19" customHeight="1" x14ac:dyDescent="0.35">
      <c r="BO446" s="392"/>
    </row>
    <row r="447" spans="63:93" ht="19" customHeight="1" x14ac:dyDescent="0.35">
      <c r="BO447" s="392"/>
    </row>
    <row r="448" spans="63:93" ht="19" customHeight="1" x14ac:dyDescent="0.35">
      <c r="BO448" s="392"/>
    </row>
    <row r="449" spans="67:67" ht="19" customHeight="1" x14ac:dyDescent="0.35">
      <c r="BO449" s="392"/>
    </row>
    <row r="450" spans="67:67" ht="19" customHeight="1" x14ac:dyDescent="0.35">
      <c r="BO450" s="392"/>
    </row>
    <row r="451" spans="67:67" ht="19" customHeight="1" x14ac:dyDescent="0.35">
      <c r="BO451" s="392"/>
    </row>
    <row r="452" spans="67:67" ht="19" customHeight="1" x14ac:dyDescent="0.35">
      <c r="BO452" s="392"/>
    </row>
    <row r="453" spans="67:67" ht="19" customHeight="1" x14ac:dyDescent="0.35">
      <c r="BO453" s="392"/>
    </row>
    <row r="1006" spans="2:10" ht="45" customHeight="1" x14ac:dyDescent="0.35">
      <c r="B1006" s="481" t="s">
        <v>233</v>
      </c>
      <c r="C1006" s="481"/>
      <c r="D1006" s="481"/>
      <c r="E1006" s="481"/>
      <c r="F1006" s="481"/>
      <c r="G1006" s="481"/>
      <c r="H1006" s="481"/>
      <c r="I1006" s="481"/>
      <c r="J1006" s="481"/>
    </row>
    <row r="1007" spans="2:10" ht="10" customHeight="1" x14ac:dyDescent="0.35">
      <c r="B1007" s="29"/>
      <c r="C1007" s="29"/>
      <c r="D1007" s="29"/>
      <c r="E1007" s="29"/>
      <c r="F1007" s="29"/>
      <c r="G1007" s="29"/>
      <c r="H1007" s="29"/>
      <c r="I1007" s="134"/>
      <c r="J1007" s="134"/>
    </row>
    <row r="1008" spans="2:10" ht="40" customHeight="1" x14ac:dyDescent="0.35">
      <c r="B1008" s="112" t="s">
        <v>98</v>
      </c>
      <c r="C1008" s="117"/>
      <c r="D1008" s="117"/>
      <c r="E1008" s="117"/>
      <c r="F1008" s="117"/>
      <c r="G1008" s="117"/>
      <c r="H1008" s="117"/>
      <c r="I1008" s="482" t="s">
        <v>246</v>
      </c>
      <c r="J1008" s="482"/>
    </row>
    <row r="1009" spans="2:10" ht="15" customHeight="1" x14ac:dyDescent="0.35">
      <c r="B1009" s="29"/>
      <c r="C1009" s="29"/>
      <c r="D1009" s="29"/>
      <c r="E1009" s="40" t="s">
        <v>25</v>
      </c>
      <c r="F1009" s="29"/>
      <c r="G1009" s="29"/>
      <c r="H1009" s="29"/>
      <c r="I1009" s="29"/>
      <c r="J1009" s="40" t="s">
        <v>25</v>
      </c>
    </row>
    <row r="1010" spans="2:10" ht="35.15" customHeight="1" x14ac:dyDescent="0.35">
      <c r="B1010" s="169" t="s">
        <v>235</v>
      </c>
      <c r="C1010" s="166" t="str">
        <f>IFERROR(I1008,"")</f>
        <v>jun | 2026</v>
      </c>
      <c r="D1010" s="166" t="str">
        <f>_xlfn.CONCAT("dez"," | ",MID($I$1008,7,4)-1)</f>
        <v>dez | 2025</v>
      </c>
      <c r="E1010" s="166" t="s">
        <v>5</v>
      </c>
      <c r="F1010" s="14"/>
      <c r="G1010" s="169" t="s">
        <v>236</v>
      </c>
      <c r="H1010" s="166" t="str">
        <f>IFERROR(I1008,"")</f>
        <v>jun | 2026</v>
      </c>
      <c r="I1010" s="166" t="str">
        <f>_xlfn.CONCAT("dez"," | ",MID($I$1008,7,4)-1)</f>
        <v>dez | 2025</v>
      </c>
      <c r="J1010" s="166" t="s">
        <v>5</v>
      </c>
    </row>
    <row r="1011" spans="2:10" ht="23.15" customHeight="1" x14ac:dyDescent="0.35">
      <c r="B1011" s="42" t="s">
        <v>237</v>
      </c>
      <c r="C1011" s="43">
        <f>IFERROR(SUM(C1012:C1024),0)</f>
        <v>10055599</v>
      </c>
      <c r="D1011" s="43">
        <f>SUM(D1012:D1024)</f>
        <v>9607347</v>
      </c>
      <c r="E1011" s="47">
        <f>IFERROR(((C1011/D1011)-1)*100,0)</f>
        <v>4.6657209321158133</v>
      </c>
      <c r="F1011" s="9"/>
      <c r="G1011" s="17" t="s">
        <v>237</v>
      </c>
      <c r="H1011" s="24">
        <f>IFERROR(SUM(H1012:H1031),0)</f>
        <v>10235190</v>
      </c>
      <c r="I1011" s="24">
        <f>IFERROR(SUM(I1012:I1031),0)</f>
        <v>9949392</v>
      </c>
      <c r="J1011" s="63">
        <f>IFERROR(((H1011/I1011)-1)*100,0)</f>
        <v>2.8725172352240147</v>
      </c>
    </row>
    <row r="1012" spans="2:10" ht="19" customHeight="1" x14ac:dyDescent="0.35">
      <c r="B1012" s="5" t="str">
        <f t="shared" ref="B1012:B1024" si="136">BO293</f>
        <v>Caixa e equivalentes de caixa</v>
      </c>
      <c r="C1012" s="21">
        <f t="shared" ref="C1012:C1024" si="137" xml:space="preserve">
IFERROR(
INDEX($BO$206:$FQ$602,
MATCH(
_xlfn.CONCAT($B$1008,"|",$B$1010,"|",$B$1011,"|",B1012),
$BK$206:$BK$602,0),
MATCH(
$C$1010,
$BO$205:$FQ$205,0)
),0)</f>
        <v>659587</v>
      </c>
      <c r="D1012" s="21">
        <f t="shared" ref="D1012:D1024" si="138" xml:space="preserve">
IFERROR(
INDEX($BO$206:$FQ$602,
MATCH(
_xlfn.CONCAT($B$1008,"|",$B$1010,"|",$B$1011,"|",B1012),
$BK$206:$BK$602,0),
MATCH(
$D$1010,
$BO$205:$FQ$205,0)
),0)</f>
        <v>918869</v>
      </c>
      <c r="E1012" s="59">
        <f>IFERROR(((C1012/D1012)-1)*100,0)</f>
        <v>-28.217515227959588</v>
      </c>
      <c r="F1012" s="10"/>
      <c r="G1012" s="6" t="str">
        <f t="shared" ref="G1012:G1028" si="139">BO325</f>
        <v>Debêntures</v>
      </c>
      <c r="H1012" s="25">
        <f t="shared" ref="H1012:H1031" si="140" xml:space="preserve">
IFERROR(
INDEX($BO$206:$FQ$602,
MATCH(
_xlfn.CONCAT($B$1008,"|",$G$1010,"|",$G$1011,"|",G1012),
$BK$206:$BK$602,0),
MATCH(
$H$1010,
$BO$205:$FQ$205,0)
),0)</f>
        <v>845285</v>
      </c>
      <c r="I1012" s="25">
        <f t="shared" ref="I1012:I1031" si="141" xml:space="preserve">
IFERROR(
INDEX($BO$206:$FQ$602,
MATCH(
_xlfn.CONCAT($B$1008,"|",$G$1010,"|",$G$1011,"|",G1012),
$BK$206:$BK$602,0),
MATCH(
$I$1010,
$BO$205:$FQ$205,0)
),0)</f>
        <v>2395885</v>
      </c>
      <c r="J1012" s="33">
        <f>IFERROR(((H1012/I1012)-1)*100,0)</f>
        <v>-64.719299966400726</v>
      </c>
    </row>
    <row r="1013" spans="2:10" ht="19" customHeight="1" x14ac:dyDescent="0.35">
      <c r="B1013" s="5" t="str">
        <f t="shared" si="136"/>
        <v>Títulos e valores mobiliários</v>
      </c>
      <c r="C1013" s="21">
        <f t="shared" si="137"/>
        <v>282462</v>
      </c>
      <c r="D1013" s="21">
        <f t="shared" si="138"/>
        <v>349138</v>
      </c>
      <c r="E1013" s="59">
        <f t="shared" ref="E1013:E1039" si="142">IFERROR(((C1013/D1013)-1)*100,0)</f>
        <v>-19.097319684480063</v>
      </c>
      <c r="F1013" s="10"/>
      <c r="G1013" s="6" t="str">
        <f t="shared" si="139"/>
        <v>Fornecedores</v>
      </c>
      <c r="H1013" s="25">
        <f t="shared" si="140"/>
        <v>2109518</v>
      </c>
      <c r="I1013" s="25">
        <f t="shared" si="141"/>
        <v>1999948</v>
      </c>
      <c r="J1013" s="33">
        <f t="shared" ref="J1013:J1027" si="143">IFERROR(((H1013/I1013)-1)*100,0)</f>
        <v>5.478642444703552</v>
      </c>
    </row>
    <row r="1014" spans="2:10" ht="19" customHeight="1" x14ac:dyDescent="0.35">
      <c r="B1014" s="5" t="str">
        <f t="shared" si="136"/>
        <v>Consumidores e revendedores</v>
      </c>
      <c r="C1014" s="21">
        <f t="shared" si="137"/>
        <v>4221605</v>
      </c>
      <c r="D1014" s="21">
        <f t="shared" si="138"/>
        <v>3990660</v>
      </c>
      <c r="E1014" s="59">
        <f t="shared" si="142"/>
        <v>5.7871379671533107</v>
      </c>
      <c r="F1014" s="10"/>
      <c r="G1014" s="6" t="str">
        <f t="shared" si="139"/>
        <v>Impostos, taxas e contribuições</v>
      </c>
      <c r="H1014" s="25">
        <f t="shared" si="140"/>
        <v>373850</v>
      </c>
      <c r="I1014" s="25">
        <f t="shared" si="141"/>
        <v>379738</v>
      </c>
      <c r="J1014" s="33">
        <f t="shared" si="143"/>
        <v>-1.550542742627814</v>
      </c>
    </row>
    <row r="1015" spans="2:10" ht="19" customHeight="1" x14ac:dyDescent="0.35">
      <c r="B1015" s="5" t="str">
        <f t="shared" si="136"/>
        <v>Concessionários - transporte de energia</v>
      </c>
      <c r="C1015" s="21">
        <f t="shared" si="137"/>
        <v>490690</v>
      </c>
      <c r="D1015" s="21">
        <f t="shared" si="138"/>
        <v>436468</v>
      </c>
      <c r="E1015" s="59">
        <f t="shared" si="142"/>
        <v>12.42290385549456</v>
      </c>
      <c r="F1015" s="10"/>
      <c r="G1015" s="6" t="str">
        <f t="shared" si="139"/>
        <v>Imposto de renda e contribuição social</v>
      </c>
      <c r="H1015" s="25">
        <f t="shared" si="140"/>
        <v>8035</v>
      </c>
      <c r="I1015" s="25">
        <f t="shared" si="141"/>
        <v>0</v>
      </c>
      <c r="J1015" s="33">
        <f t="shared" si="143"/>
        <v>0</v>
      </c>
    </row>
    <row r="1016" spans="2:10" ht="19" customHeight="1" x14ac:dyDescent="0.35">
      <c r="B1016" s="5" t="str">
        <f t="shared" si="136"/>
        <v>Tributos a recuperar</v>
      </c>
      <c r="C1016" s="21">
        <f t="shared" si="137"/>
        <v>576101</v>
      </c>
      <c r="D1016" s="21">
        <f t="shared" si="138"/>
        <v>500205</v>
      </c>
      <c r="E1016" s="59">
        <f t="shared" si="142"/>
        <v>15.172979078577775</v>
      </c>
      <c r="F1016" s="10"/>
      <c r="G1016" s="6" t="str">
        <f t="shared" si="139"/>
        <v>Salários e encargos sociais</v>
      </c>
      <c r="H1016" s="25">
        <f t="shared" si="140"/>
        <v>176131</v>
      </c>
      <c r="I1016" s="25">
        <f t="shared" si="141"/>
        <v>146059</v>
      </c>
      <c r="J1016" s="33">
        <f t="shared" si="143"/>
        <v>20.588940085855722</v>
      </c>
    </row>
    <row r="1017" spans="2:10" ht="19" customHeight="1" x14ac:dyDescent="0.35">
      <c r="B1017" s="5" t="str">
        <f t="shared" si="136"/>
        <v>Fundos vinculados</v>
      </c>
      <c r="C1017" s="21">
        <f t="shared" si="137"/>
        <v>18924</v>
      </c>
      <c r="D1017" s="21">
        <f t="shared" si="138"/>
        <v>204418</v>
      </c>
      <c r="E1017" s="59">
        <f t="shared" si="142"/>
        <v>-90.742498214442961</v>
      </c>
      <c r="F1017" s="10"/>
      <c r="G1017" s="6" t="str">
        <f t="shared" si="139"/>
        <v>Encargos regulatórios</v>
      </c>
      <c r="H1017" s="25">
        <f t="shared" si="140"/>
        <v>300441</v>
      </c>
      <c r="I1017" s="25">
        <f t="shared" si="141"/>
        <v>338712</v>
      </c>
      <c r="J1017" s="33">
        <f t="shared" si="143"/>
        <v>-11.298979664139441</v>
      </c>
    </row>
    <row r="1018" spans="2:10" ht="19" customHeight="1" x14ac:dyDescent="0.35">
      <c r="B1018" s="5" t="str">
        <f t="shared" si="136"/>
        <v>Imposto de renda e contribuição social a recuperar</v>
      </c>
      <c r="C1018" s="21">
        <f t="shared" si="137"/>
        <v>242990</v>
      </c>
      <c r="D1018" s="21">
        <f t="shared" si="138"/>
        <v>227694</v>
      </c>
      <c r="E1018" s="59">
        <f t="shared" si="142"/>
        <v>6.717787908333106</v>
      </c>
      <c r="F1018" s="10"/>
      <c r="G1018" s="6" t="str">
        <f t="shared" si="139"/>
        <v>Participação dos colaboradores e administradores no resultado</v>
      </c>
      <c r="H1018" s="25">
        <f t="shared" si="140"/>
        <v>53230</v>
      </c>
      <c r="I1018" s="25">
        <f t="shared" si="141"/>
        <v>74663</v>
      </c>
      <c r="J1018" s="33">
        <f t="shared" si="143"/>
        <v>-28.706320399662488</v>
      </c>
    </row>
    <row r="1019" spans="2:10" ht="19" customHeight="1" x14ac:dyDescent="0.35">
      <c r="B1019" s="5" t="str">
        <f t="shared" si="136"/>
        <v>Estoques</v>
      </c>
      <c r="C1019" s="21">
        <f t="shared" si="137"/>
        <v>0</v>
      </c>
      <c r="D1019" s="21">
        <f t="shared" si="138"/>
        <v>0</v>
      </c>
      <c r="E1019" s="59">
        <f t="shared" si="142"/>
        <v>0</v>
      </c>
      <c r="F1019" s="10"/>
      <c r="G1019" s="6" t="str">
        <f t="shared" si="139"/>
        <v>Obrigações pós-emprego</v>
      </c>
      <c r="H1019" s="25">
        <f t="shared" si="140"/>
        <v>111954</v>
      </c>
      <c r="I1019" s="25">
        <f t="shared" si="141"/>
        <v>93884</v>
      </c>
      <c r="J1019" s="33">
        <f t="shared" si="143"/>
        <v>19.247156064931193</v>
      </c>
    </row>
    <row r="1020" spans="2:10" ht="19" customHeight="1" x14ac:dyDescent="0.35">
      <c r="B1020" s="5" t="str">
        <f t="shared" si="136"/>
        <v>Contribuição de iluminação pública</v>
      </c>
      <c r="C1020" s="21">
        <f t="shared" si="137"/>
        <v>342251</v>
      </c>
      <c r="D1020" s="21">
        <f t="shared" si="138"/>
        <v>340671</v>
      </c>
      <c r="E1020" s="59">
        <f t="shared" si="142"/>
        <v>0.46379057800634005</v>
      </c>
      <c r="F1020" s="10"/>
      <c r="G1020" s="6" t="str">
        <f t="shared" si="139"/>
        <v>Contribuição de iluminação pública</v>
      </c>
      <c r="H1020" s="25">
        <f t="shared" si="140"/>
        <v>533030</v>
      </c>
      <c r="I1020" s="25">
        <f t="shared" si="141"/>
        <v>542706</v>
      </c>
      <c r="J1020" s="33">
        <f t="shared" si="143"/>
        <v>-1.7829174543859794</v>
      </c>
    </row>
    <row r="1021" spans="2:10" ht="19" customHeight="1" x14ac:dyDescent="0.35">
      <c r="B1021" s="5" t="str">
        <f t="shared" si="136"/>
        <v>Reembolso subsídios tarifários</v>
      </c>
      <c r="C1021" s="21">
        <f t="shared" si="137"/>
        <v>650721</v>
      </c>
      <c r="D1021" s="21">
        <f t="shared" si="138"/>
        <v>603905</v>
      </c>
      <c r="E1021" s="59">
        <f t="shared" si="142"/>
        <v>7.7522126824583371</v>
      </c>
      <c r="F1021" s="10"/>
      <c r="G1021" s="6" t="str">
        <f t="shared" si="139"/>
        <v>Mútuo com partes relacionadas</v>
      </c>
      <c r="H1021" s="25">
        <f t="shared" si="140"/>
        <v>528771</v>
      </c>
      <c r="I1021" s="25">
        <f t="shared" si="141"/>
        <v>0</v>
      </c>
      <c r="J1021" s="33">
        <f t="shared" si="143"/>
        <v>0</v>
      </c>
    </row>
    <row r="1022" spans="2:10" ht="19" customHeight="1" x14ac:dyDescent="0.35">
      <c r="B1022" s="5" t="str">
        <f t="shared" si="136"/>
        <v>Subvenção baixa renda</v>
      </c>
      <c r="C1022" s="21">
        <f t="shared" si="137"/>
        <v>0</v>
      </c>
      <c r="D1022" s="21">
        <f t="shared" si="138"/>
        <v>0</v>
      </c>
      <c r="E1022" s="59">
        <f t="shared" si="142"/>
        <v>0</v>
      </c>
      <c r="F1022" s="10"/>
      <c r="G1022" s="6" t="str">
        <f t="shared" si="139"/>
        <v>Indenização Compensatória</v>
      </c>
      <c r="H1022" s="25">
        <f t="shared" si="140"/>
        <v>150939</v>
      </c>
      <c r="I1022" s="25">
        <f t="shared" si="141"/>
        <v>302627</v>
      </c>
      <c r="J1022" s="33">
        <f t="shared" si="143"/>
        <v>-50.123749698473695</v>
      </c>
    </row>
    <row r="1023" spans="2:10" ht="19" customHeight="1" x14ac:dyDescent="0.35">
      <c r="B1023" s="5" t="str">
        <f t="shared" si="136"/>
        <v>Ativos setoriais da concessão</v>
      </c>
      <c r="C1023" s="21">
        <f t="shared" si="137"/>
        <v>1873226</v>
      </c>
      <c r="D1023" s="21">
        <f t="shared" si="138"/>
        <v>1328786</v>
      </c>
      <c r="E1023" s="59">
        <f t="shared" si="142"/>
        <v>40.972737521316446</v>
      </c>
      <c r="F1023" s="10"/>
      <c r="G1023" s="6" t="str">
        <f t="shared" si="139"/>
        <v>Obrigações relacionadas à energia gerada por consumidores</v>
      </c>
      <c r="H1023" s="25">
        <f t="shared" si="140"/>
        <v>1942669</v>
      </c>
      <c r="I1023" s="25">
        <f t="shared" si="141"/>
        <v>1825274</v>
      </c>
      <c r="J1023" s="33">
        <f t="shared" si="143"/>
        <v>6.4316371131128758</v>
      </c>
    </row>
    <row r="1024" spans="2:10" ht="19" customHeight="1" x14ac:dyDescent="0.35">
      <c r="B1024" s="5" t="str">
        <f t="shared" si="136"/>
        <v>Outros ativos</v>
      </c>
      <c r="C1024" s="21">
        <f t="shared" si="137"/>
        <v>697042</v>
      </c>
      <c r="D1024" s="21">
        <f t="shared" si="138"/>
        <v>706533</v>
      </c>
      <c r="E1024" s="59">
        <f t="shared" si="142"/>
        <v>-1.3433201280053431</v>
      </c>
      <c r="F1024" s="10"/>
      <c r="G1024" s="6" t="str">
        <f t="shared" si="139"/>
        <v>Passivos setoriais da concessão</v>
      </c>
      <c r="H1024" s="25">
        <f t="shared" si="140"/>
        <v>0</v>
      </c>
      <c r="I1024" s="25">
        <f t="shared" si="141"/>
        <v>0</v>
      </c>
      <c r="J1024" s="33">
        <f t="shared" si="143"/>
        <v>0</v>
      </c>
    </row>
    <row r="1025" spans="2:10" ht="23.15" customHeight="1" x14ac:dyDescent="0.35">
      <c r="B1025" s="4" t="s">
        <v>238</v>
      </c>
      <c r="C1025" s="22">
        <f>IFERROR(SUM(C1026,C1038:C1039),0)</f>
        <v>30879092</v>
      </c>
      <c r="D1025" s="22">
        <f>IFERROR(SUM(D1026,D1038:D1039),0)</f>
        <v>28647903</v>
      </c>
      <c r="E1025" s="61">
        <f t="shared" si="142"/>
        <v>7.7883152564430347</v>
      </c>
      <c r="F1025" s="12"/>
      <c r="G1025" s="6" t="str">
        <f t="shared" si="139"/>
        <v>Juros sobre capital próprio e dividendos a pagar</v>
      </c>
      <c r="H1025" s="25">
        <f t="shared" si="140"/>
        <v>1545440</v>
      </c>
      <c r="I1025" s="25">
        <f t="shared" si="141"/>
        <v>1074587</v>
      </c>
      <c r="J1025" s="33">
        <f t="shared" si="143"/>
        <v>43.817112993177851</v>
      </c>
    </row>
    <row r="1026" spans="2:10" ht="20.149999999999999" customHeight="1" x14ac:dyDescent="0.35">
      <c r="B1026" s="7" t="s">
        <v>239</v>
      </c>
      <c r="C1026" s="23">
        <f>IFERROR(SUM(C1027:C1037),0)</f>
        <v>14476250</v>
      </c>
      <c r="D1026" s="23">
        <f>IFERROR(SUM(D1027:D1037),0)</f>
        <v>13025435</v>
      </c>
      <c r="E1026" s="60">
        <f t="shared" si="142"/>
        <v>11.138322827606139</v>
      </c>
      <c r="F1026" s="10"/>
      <c r="G1026" s="6" t="str">
        <f t="shared" si="139"/>
        <v>Valores a restituir a consumidores</v>
      </c>
      <c r="H1026" s="25">
        <f t="shared" si="140"/>
        <v>340800</v>
      </c>
      <c r="I1026" s="25">
        <f t="shared" si="141"/>
        <v>340800</v>
      </c>
      <c r="J1026" s="33">
        <f t="shared" si="143"/>
        <v>0</v>
      </c>
    </row>
    <row r="1027" spans="2:10" ht="19" customHeight="1" x14ac:dyDescent="0.35">
      <c r="B1027" s="6" t="str">
        <f t="shared" ref="B1027:B1028" si="144">BO308</f>
        <v>Títulos e valores mobiliários</v>
      </c>
      <c r="C1027" s="21">
        <f t="shared" ref="C1027:C1037" si="145" xml:space="preserve">
IFERROR(
INDEX($BO$206:$FQ$602,
MATCH(
_xlfn.CONCAT($B$1008,"|",$B$1010,"|",$B$1025,"|",B1027),
$BK$206:$BK$602,0),
MATCH(
$C$1010,
$BO$205:$FQ$205,0)
),0)</f>
        <v>0</v>
      </c>
      <c r="D1027" s="21">
        <f t="shared" ref="D1027:D1037" si="146" xml:space="preserve">
IFERROR(
INDEX($BO$206:$FQ$602,
MATCH(
_xlfn.CONCAT($B$1008,"|",$B$1010,"|",$B$1025,"|",B1027),
$BK$206:$BK$602,0),
MATCH(
$D$1010,
$BO$205:$FQ$205,0)
),0)</f>
        <v>0</v>
      </c>
      <c r="E1027" s="59">
        <f t="shared" si="142"/>
        <v>0</v>
      </c>
      <c r="F1027" s="10"/>
      <c r="G1027" s="6" t="str">
        <f t="shared" si="139"/>
        <v>Valores a pagar a partes relacionadas</v>
      </c>
      <c r="H1027" s="25">
        <f t="shared" si="140"/>
        <v>0</v>
      </c>
      <c r="I1027" s="25">
        <f t="shared" si="141"/>
        <v>0</v>
      </c>
      <c r="J1027" s="33">
        <f t="shared" si="143"/>
        <v>0</v>
      </c>
    </row>
    <row r="1028" spans="2:10" ht="19" customHeight="1" x14ac:dyDescent="0.35">
      <c r="B1028" s="6" t="str">
        <f t="shared" si="144"/>
        <v>Imposto de renda e contribuição social diferidos</v>
      </c>
      <c r="C1028" s="21">
        <f t="shared" si="145"/>
        <v>565759</v>
      </c>
      <c r="D1028" s="21">
        <f t="shared" si="146"/>
        <v>693230</v>
      </c>
      <c r="E1028" s="59">
        <f t="shared" si="142"/>
        <v>-18.387980900999668</v>
      </c>
      <c r="F1028" s="10"/>
      <c r="G1028" s="6" t="str">
        <f t="shared" si="139"/>
        <v>Arrendamentos - obrigações</v>
      </c>
      <c r="H1028" s="25">
        <f t="shared" si="140"/>
        <v>67771</v>
      </c>
      <c r="I1028" s="25">
        <f t="shared" si="141"/>
        <v>63963</v>
      </c>
      <c r="J1028" s="33">
        <f>IFERROR(((H1028/I1028)-1)*100,0)</f>
        <v>5.9534418335600359</v>
      </c>
    </row>
    <row r="1029" spans="2:10" ht="19" customHeight="1" x14ac:dyDescent="0.35">
      <c r="B1029" s="6" t="str">
        <f t="shared" ref="B1029:B1039" si="147">BO310</f>
        <v>Tributos a recuperar</v>
      </c>
      <c r="C1029" s="21">
        <f t="shared" si="145"/>
        <v>925793</v>
      </c>
      <c r="D1029" s="21">
        <f t="shared" si="146"/>
        <v>886637</v>
      </c>
      <c r="E1029" s="59">
        <f t="shared" si="142"/>
        <v>4.4162379869100876</v>
      </c>
      <c r="F1029" s="10"/>
      <c r="G1029" s="6" t="str">
        <f t="shared" ref="G1029:G1030" si="148">BO342</f>
        <v>Instrumentos Financeiros Derivativos</v>
      </c>
      <c r="H1029" s="25">
        <f t="shared" si="140"/>
        <v>55212</v>
      </c>
      <c r="I1029" s="25">
        <f t="shared" si="141"/>
        <v>0</v>
      </c>
      <c r="J1029" s="33">
        <f>IFERROR(((H1029/I1029)-1)*100,0)</f>
        <v>0</v>
      </c>
    </row>
    <row r="1030" spans="2:10" ht="19" customHeight="1" x14ac:dyDescent="0.35">
      <c r="B1030" s="6" t="str">
        <f t="shared" si="147"/>
        <v>Imposto de renda e contribuição social a recuperar</v>
      </c>
      <c r="C1030" s="21">
        <f t="shared" si="145"/>
        <v>48565</v>
      </c>
      <c r="D1030" s="21">
        <f t="shared" si="146"/>
        <v>47321</v>
      </c>
      <c r="E1030" s="59">
        <f t="shared" si="142"/>
        <v>2.6288539971682789</v>
      </c>
      <c r="F1030" s="10"/>
      <c r="G1030" s="6" t="str">
        <f t="shared" si="148"/>
        <v>Antecipação de CDE</v>
      </c>
      <c r="H1030" s="25">
        <f t="shared" si="140"/>
        <v>709761</v>
      </c>
      <c r="I1030" s="25">
        <f t="shared" si="141"/>
        <v>0</v>
      </c>
      <c r="J1030" s="33">
        <f t="shared" ref="J1030" si="149">IFERROR(((H1030/I1030)-1)*100,0)</f>
        <v>0</v>
      </c>
    </row>
    <row r="1031" spans="2:10" ht="19" customHeight="1" x14ac:dyDescent="0.35">
      <c r="B1031" s="6" t="str">
        <f t="shared" si="147"/>
        <v>Depósitos vinculados a litígios</v>
      </c>
      <c r="C1031" s="21">
        <f t="shared" si="145"/>
        <v>623539</v>
      </c>
      <c r="D1031" s="21">
        <f t="shared" si="146"/>
        <v>724697</v>
      </c>
      <c r="E1031" s="59">
        <f t="shared" si="142"/>
        <v>-13.958661343982381</v>
      </c>
      <c r="F1031" s="10"/>
      <c r="G1031" s="6" t="str">
        <f>BO344</f>
        <v>Outros passivos</v>
      </c>
      <c r="H1031" s="25">
        <f t="shared" si="140"/>
        <v>382353</v>
      </c>
      <c r="I1031" s="25">
        <f t="shared" si="141"/>
        <v>370546</v>
      </c>
      <c r="J1031" s="33">
        <f t="shared" ref="J1031" si="150">IFERROR(((H1031/I1031)-1)*100,0)</f>
        <v>3.1863790190691521</v>
      </c>
    </row>
    <row r="1032" spans="2:10" ht="23.15" customHeight="1" x14ac:dyDescent="0.35">
      <c r="B1032" s="6" t="str">
        <f t="shared" si="147"/>
        <v>Consumidores e revendedores</v>
      </c>
      <c r="C1032" s="21">
        <f t="shared" si="145"/>
        <v>0</v>
      </c>
      <c r="D1032" s="21">
        <f t="shared" si="146"/>
        <v>0</v>
      </c>
      <c r="E1032" s="59">
        <f t="shared" si="142"/>
        <v>0</v>
      </c>
      <c r="F1032" s="10"/>
      <c r="G1032" s="18" t="s">
        <v>238</v>
      </c>
      <c r="H1032" s="26">
        <f>IFERROR(SUM(H1033:H1042),0)</f>
        <v>17887827</v>
      </c>
      <c r="I1032" s="26">
        <f>IFERROR(SUM(I1033:I1042),0)</f>
        <v>15783943</v>
      </c>
      <c r="J1032" s="63">
        <f>IFERROR(((H1032/I1032)-1)*100,0)</f>
        <v>13.329267598090034</v>
      </c>
    </row>
    <row r="1033" spans="2:10" ht="19" customHeight="1" x14ac:dyDescent="0.35">
      <c r="B1033" s="6" t="str">
        <f t="shared" si="147"/>
        <v>Concessionários - transporte de energia</v>
      </c>
      <c r="C1033" s="21">
        <f t="shared" si="145"/>
        <v>37299</v>
      </c>
      <c r="D1033" s="21">
        <f t="shared" si="146"/>
        <v>37467</v>
      </c>
      <c r="E1033" s="59">
        <f t="shared" si="142"/>
        <v>-0.44839458723676673</v>
      </c>
      <c r="F1033" s="10"/>
      <c r="G1033" s="6" t="str">
        <f t="shared" ref="G1033:G1042" si="151">BO346</f>
        <v>Debêntures</v>
      </c>
      <c r="H1033" s="25">
        <f t="shared" ref="H1033:H1042" si="152" xml:space="preserve">
IFERROR(
INDEX($BO$206:$FQ$602,
MATCH(
_xlfn.CONCAT($B$1008,"|",$G$1010,"|",$G$1032,"|",G1033),
$BK$206:$BK$602,0),
MATCH(
$H$1010,
$BO$205:$FQ$205,0)
),0)</f>
        <v>14820186</v>
      </c>
      <c r="I1033" s="25">
        <f t="shared" ref="I1033:I1042" si="153" xml:space="preserve">
IFERROR(
INDEX($BO$206:$FQ$602,
MATCH(
_xlfn.CONCAT($B$1008,"|",$G$1010,"|",$G$1032,"|",G1033),
$BK$206:$BK$602,0),
MATCH(
$I$1010,
$BO$205:$FQ$205,0)
),0)</f>
        <v>12496203</v>
      </c>
      <c r="J1033" s="33">
        <f t="shared" ref="J1033:J1042" si="154">IFERROR(((H1033/I1033)-1)*100,0)</f>
        <v>18.597513180603741</v>
      </c>
    </row>
    <row r="1034" spans="2:10" ht="19" customHeight="1" x14ac:dyDescent="0.35">
      <c r="B1034" s="6" t="str">
        <f t="shared" si="147"/>
        <v>Outros ativos</v>
      </c>
      <c r="C1034" s="21">
        <f t="shared" si="145"/>
        <v>58676</v>
      </c>
      <c r="D1034" s="21">
        <f t="shared" si="146"/>
        <v>161549</v>
      </c>
      <c r="E1034" s="59">
        <f t="shared" si="142"/>
        <v>-63.679131409046178</v>
      </c>
      <c r="F1034" s="10"/>
      <c r="G1034" s="6" t="str">
        <f t="shared" si="151"/>
        <v>Provisões</v>
      </c>
      <c r="H1034" s="25">
        <f t="shared" si="152"/>
        <v>1292987</v>
      </c>
      <c r="I1034" s="25">
        <f t="shared" si="153"/>
        <v>1348991</v>
      </c>
      <c r="J1034" s="33">
        <f t="shared" si="154"/>
        <v>-4.1515473416798176</v>
      </c>
    </row>
    <row r="1035" spans="2:10" ht="19" customHeight="1" x14ac:dyDescent="0.35">
      <c r="B1035" s="6" t="str">
        <f t="shared" si="147"/>
        <v>Ativos setoriais da concessão</v>
      </c>
      <c r="C1035" s="21">
        <f t="shared" si="145"/>
        <v>763877</v>
      </c>
      <c r="D1035" s="21">
        <f t="shared" si="146"/>
        <v>633083</v>
      </c>
      <c r="E1035" s="59">
        <f t="shared" si="142"/>
        <v>20.65985028819286</v>
      </c>
      <c r="F1035" s="10"/>
      <c r="G1035" s="6" t="str">
        <f t="shared" si="151"/>
        <v>Obrigações pós-emprego</v>
      </c>
      <c r="H1035" s="25">
        <f t="shared" si="152"/>
        <v>921211</v>
      </c>
      <c r="I1035" s="25">
        <f t="shared" si="153"/>
        <v>942505</v>
      </c>
      <c r="J1035" s="33">
        <f t="shared" si="154"/>
        <v>-2.2592983591599003</v>
      </c>
    </row>
    <row r="1036" spans="2:10" ht="19" customHeight="1" x14ac:dyDescent="0.35">
      <c r="B1036" s="6" t="str">
        <f t="shared" si="147"/>
        <v>Ativos financeiros relacionados à infraestrutura</v>
      </c>
      <c r="C1036" s="21">
        <f t="shared" si="145"/>
        <v>4499235</v>
      </c>
      <c r="D1036" s="21">
        <f t="shared" si="146"/>
        <v>3826328</v>
      </c>
      <c r="E1036" s="59">
        <f t="shared" si="142"/>
        <v>17.586234112705434</v>
      </c>
      <c r="F1036" s="10"/>
      <c r="G1036" s="6" t="str">
        <f t="shared" si="151"/>
        <v>Indenização Compensatória</v>
      </c>
      <c r="H1036" s="25">
        <f t="shared" si="152"/>
        <v>452035</v>
      </c>
      <c r="I1036" s="25">
        <f t="shared" si="153"/>
        <v>604552</v>
      </c>
      <c r="J1036" s="33">
        <f t="shared" si="154"/>
        <v>-25.228102793473518</v>
      </c>
    </row>
    <row r="1037" spans="2:10" ht="19" customHeight="1" x14ac:dyDescent="0.35">
      <c r="B1037" s="6" t="str">
        <f t="shared" si="147"/>
        <v>Ativos de contrato</v>
      </c>
      <c r="C1037" s="21">
        <f t="shared" si="145"/>
        <v>6953507</v>
      </c>
      <c r="D1037" s="21">
        <f t="shared" si="146"/>
        <v>6015123</v>
      </c>
      <c r="E1037" s="59">
        <f t="shared" si="142"/>
        <v>15.600412493643102</v>
      </c>
      <c r="F1037" s="10"/>
      <c r="G1037" s="6" t="str">
        <f t="shared" si="151"/>
        <v>Encargos regulatórios</v>
      </c>
      <c r="H1037" s="25">
        <f t="shared" si="152"/>
        <v>169749</v>
      </c>
      <c r="I1037" s="25">
        <f t="shared" si="153"/>
        <v>141432</v>
      </c>
      <c r="J1037" s="33">
        <f t="shared" si="154"/>
        <v>20.021635839131168</v>
      </c>
    </row>
    <row r="1038" spans="2:10" ht="20.149999999999999" customHeight="1" x14ac:dyDescent="0.35">
      <c r="B1038" s="7" t="str">
        <f t="shared" si="147"/>
        <v>Intangível</v>
      </c>
      <c r="C1038" s="23">
        <f xml:space="preserve">
IFERROR(
INDEX($BO$206:$FQ$602,
MATCH(
_xlfn.CONCAT($B$1008,"|",$B$1010,"|",B1038),
$BK$206:$BK$602,0),
MATCH(
$C$1010,
$BO$205:$FQ$205,0)
),0)</f>
        <v>16185545</v>
      </c>
      <c r="D1038" s="23">
        <f xml:space="preserve">
IFERROR(
INDEX($BO$206:$FQ$602,
MATCH(
_xlfn.CONCAT($B$1008,"|",$B$1010,"|",B1038),
$BK$206:$BK$602,0),
MATCH(
$D$1010,
$BO$205:$FQ$205,0)
),0)</f>
        <v>15387703</v>
      </c>
      <c r="E1038" s="60">
        <f t="shared" si="142"/>
        <v>5.1849324099899841</v>
      </c>
      <c r="F1038" s="10"/>
      <c r="G1038" s="6" t="str">
        <f t="shared" si="151"/>
        <v>Passivos setoriais da concessão</v>
      </c>
      <c r="H1038" s="25">
        <f t="shared" si="152"/>
        <v>0</v>
      </c>
      <c r="I1038" s="25">
        <f t="shared" si="153"/>
        <v>0</v>
      </c>
      <c r="J1038" s="33">
        <f t="shared" si="154"/>
        <v>0</v>
      </c>
    </row>
    <row r="1039" spans="2:10" ht="20.149999999999999" customHeight="1" x14ac:dyDescent="0.35">
      <c r="B1039" s="7" t="str">
        <f t="shared" si="147"/>
        <v>Direito de uso</v>
      </c>
      <c r="C1039" s="23">
        <f xml:space="preserve">
IFERROR(
INDEX($BO$206:$FQ$602,
MATCH(
_xlfn.CONCAT($B$1008,"|",$B$1010,"|",B1039),
$BK$206:$BK$602,0),
MATCH(
$C$1010,
$BO$205:$FQ$205,0)
),0)</f>
        <v>217297</v>
      </c>
      <c r="D1039" s="23">
        <f xml:space="preserve">
IFERROR(
INDEX($BO$206:$FQ$602,
MATCH(
_xlfn.CONCAT($B$1008,"|",$B$1010,"|",B1039),
$BK$206:$BK$602,0),
MATCH(
$D$1010,
$BO$205:$FQ$205,0)
),0)</f>
        <v>234765</v>
      </c>
      <c r="E1039" s="60">
        <f t="shared" si="142"/>
        <v>-7.4406321214831816</v>
      </c>
      <c r="F1039" s="10"/>
      <c r="G1039" s="6" t="str">
        <f t="shared" si="151"/>
        <v>Valores a restituir a consumidores</v>
      </c>
      <c r="H1039" s="25">
        <f t="shared" si="152"/>
        <v>26964</v>
      </c>
      <c r="I1039" s="25">
        <f t="shared" si="153"/>
        <v>25853</v>
      </c>
      <c r="J1039" s="33">
        <f t="shared" si="154"/>
        <v>4.2973736123467221</v>
      </c>
    </row>
    <row r="1040" spans="2:10" ht="28" customHeight="1" x14ac:dyDescent="0.35">
      <c r="B1040" s="39" t="s">
        <v>241</v>
      </c>
      <c r="C1040" s="80">
        <f>IFERROR(SUM(C1025,C1011),0)</f>
        <v>40934691</v>
      </c>
      <c r="D1040" s="80">
        <f>SUM(D1025,D1011)</f>
        <v>38255250</v>
      </c>
      <c r="E1040" s="139">
        <f>IFERROR(((C1040/D1040)-1)*100,0)</f>
        <v>7.0041131609386964</v>
      </c>
      <c r="F1040" s="13"/>
      <c r="G1040" s="6" t="str">
        <f t="shared" si="151"/>
        <v>Juros sobre capital próprio e dividendos a pagar</v>
      </c>
      <c r="H1040" s="25">
        <f t="shared" si="152"/>
        <v>0</v>
      </c>
      <c r="I1040" s="25">
        <f t="shared" si="153"/>
        <v>0</v>
      </c>
      <c r="J1040" s="33">
        <f t="shared" si="154"/>
        <v>0</v>
      </c>
    </row>
    <row r="1041" spans="7:10" ht="19" customHeight="1" x14ac:dyDescent="0.35">
      <c r="G1041" s="6" t="str">
        <f t="shared" si="151"/>
        <v>Arrendamentos - obrigações</v>
      </c>
      <c r="H1041" s="25">
        <f t="shared" si="152"/>
        <v>185298</v>
      </c>
      <c r="I1041" s="25">
        <f t="shared" si="153"/>
        <v>205747</v>
      </c>
      <c r="J1041" s="33">
        <f t="shared" si="154"/>
        <v>-9.9389055490481049</v>
      </c>
    </row>
    <row r="1042" spans="7:10" ht="19" customHeight="1" x14ac:dyDescent="0.35">
      <c r="G1042" s="6" t="str">
        <f t="shared" si="151"/>
        <v>Outros passivos</v>
      </c>
      <c r="H1042" s="25">
        <f t="shared" si="152"/>
        <v>19397</v>
      </c>
      <c r="I1042" s="25">
        <f t="shared" si="153"/>
        <v>18660</v>
      </c>
      <c r="J1042" s="33">
        <f t="shared" si="154"/>
        <v>3.9496248660235711</v>
      </c>
    </row>
    <row r="1043" spans="7:10" ht="28" customHeight="1" x14ac:dyDescent="0.35">
      <c r="G1043" s="39" t="s">
        <v>240</v>
      </c>
      <c r="H1043" s="80">
        <f>IFERROR(SUM(H1032,H1011),0)</f>
        <v>28123017</v>
      </c>
      <c r="I1043" s="80">
        <f>IFERROR(SUM(I1032,I1011),0)</f>
        <v>25733335</v>
      </c>
      <c r="J1043" s="140">
        <f>IFERROR(((H1043/I1043)-1)*100,0)</f>
        <v>9.2863284140979108</v>
      </c>
    </row>
    <row r="1045" spans="7:10" ht="35.15" customHeight="1" x14ac:dyDescent="0.35">
      <c r="G1045" s="169" t="s">
        <v>242</v>
      </c>
      <c r="H1045" s="166" t="str">
        <f>IFERROR(I1008,"")</f>
        <v>jun | 2026</v>
      </c>
      <c r="I1045" s="166" t="str">
        <f>_xlfn.CONCAT("dez"," | ",MID($I$1008,7,4)-1)</f>
        <v>dez | 2025</v>
      </c>
      <c r="J1045" s="166" t="s">
        <v>5</v>
      </c>
    </row>
    <row r="1046" spans="7:10" ht="19" customHeight="1" x14ac:dyDescent="0.35">
      <c r="G1046" s="6" t="str">
        <f>BO359</f>
        <v>Capital social</v>
      </c>
      <c r="H1046" s="25">
        <f xml:space="preserve">
IFERROR(
INDEX($BO$206:$FQ$602,
MATCH(
_xlfn.CONCAT($B$1008,"|",$G$1045,"|",G1046),
$BK$206:$BK$602,0),
MATCH(
$H$1010,
$BO$205:$FQ$205,0)
),0)</f>
        <v>6964105</v>
      </c>
      <c r="I1046" s="25">
        <f xml:space="preserve">
IFERROR(
INDEX($BO$206:$FQ$602,
MATCH(
_xlfn.CONCAT($B$1008,"|",$G$1045,"|",G1046),
$BK$206:$BK$602,0),
MATCH(
$I$1010,
$BO$205:$FQ$205,0)
),0)</f>
        <v>6964105</v>
      </c>
      <c r="J1046" s="64">
        <f>IFERROR(((H1046/I1046)-1)*100,0)</f>
        <v>0</v>
      </c>
    </row>
    <row r="1047" spans="7:10" ht="19" customHeight="1" x14ac:dyDescent="0.35">
      <c r="G1047" s="6" t="str">
        <f>BO360</f>
        <v>Adiantamento para futuro aumento de capital </v>
      </c>
      <c r="H1047" s="25">
        <f xml:space="preserve">
IFERROR(
INDEX($BO$206:$FQ$602,
MATCH(
_xlfn.CONCAT($B$1008,"|",$G$1045,"|",G1047),
$BK$206:$BK$602,0),
MATCH(
$H$1010,
$BO$205:$FQ$205,0)
),0)</f>
        <v>0</v>
      </c>
      <c r="I1047" s="25">
        <f xml:space="preserve">
IFERROR(
INDEX($BO$206:$FQ$602,
MATCH(
_xlfn.CONCAT($B$1008,"|",$G$1045,"|",G1047),
$BK$206:$BK$602,0),
MATCH(
$I$1010,
$BO$205:$FQ$205,0)
),0)</f>
        <v>0</v>
      </c>
      <c r="J1047" s="33">
        <f>IFERROR(((H1047/I1047)-1)*100,0)</f>
        <v>0</v>
      </c>
    </row>
    <row r="1048" spans="7:10" ht="19" customHeight="1" x14ac:dyDescent="0.35">
      <c r="G1048" s="6" t="str">
        <f>BO361</f>
        <v>Reservas de lucros</v>
      </c>
      <c r="H1048" s="25">
        <f xml:space="preserve">
IFERROR(
INDEX($BO$206:$FQ$602,
MATCH(
_xlfn.CONCAT($B$1008,"|",$G$1045,"|",G1048),
$BK$206:$BK$602,0),
MATCH(
$H$1010,
$BO$205:$FQ$205,0)
),0)</f>
        <v>6048031</v>
      </c>
      <c r="I1048" s="25">
        <f xml:space="preserve">
IFERROR(
INDEX($BO$206:$FQ$602,
MATCH(
_xlfn.CONCAT($B$1008,"|",$G$1045,"|",G1048),
$BK$206:$BK$602,0),
MATCH(
$I$1010,
$BO$205:$FQ$205,0)
),0)</f>
        <v>6048031</v>
      </c>
      <c r="J1048" s="33">
        <f>IFERROR(((H1048/I1048)-1)*100,0)</f>
        <v>0</v>
      </c>
    </row>
    <row r="1049" spans="7:10" ht="19" customHeight="1" x14ac:dyDescent="0.35">
      <c r="G1049" s="6" t="str">
        <f>BO362</f>
        <v>Ajustes de avaliação patrimonial</v>
      </c>
      <c r="H1049" s="25">
        <f xml:space="preserve">
IFERROR(
INDEX($BO$206:$FQ$602,
MATCH(
_xlfn.CONCAT($B$1008,"|",$G$1045,"|",G1049),
$BK$206:$BK$602,0),
MATCH(
$H$1010,
$BO$205:$FQ$205,0)
),0)</f>
        <v>-510518</v>
      </c>
      <c r="I1049" s="25">
        <f xml:space="preserve">
IFERROR(
INDEX($BO$206:$FQ$602,
MATCH(
_xlfn.CONCAT($B$1008,"|",$G$1045,"|",G1049),
$BK$206:$BK$602,0),
MATCH(
$I$1010,
$BO$205:$FQ$205,0)
),0)</f>
        <v>-490221</v>
      </c>
      <c r="J1049" s="33">
        <f t="shared" ref="J1049:J1050" si="155">IFERROR(((H1049/I1049)-1)*100,0)</f>
        <v>4.1403775032077261</v>
      </c>
    </row>
    <row r="1050" spans="7:10" ht="19" customHeight="1" x14ac:dyDescent="0.35">
      <c r="G1050" s="6" t="str">
        <f>BO363</f>
        <v>Lucros acumulados</v>
      </c>
      <c r="H1050" s="25">
        <f xml:space="preserve">
IFERROR(
INDEX($BO$206:$FQ$602,
MATCH(
_xlfn.CONCAT($B$1008,"|",$G$1045,"|",G1050),
$BK$206:$BK$602,0),
MATCH(
$H$1010,
$BO$205:$FQ$205,0)
),0)</f>
        <v>310055</v>
      </c>
      <c r="I1050" s="25">
        <f xml:space="preserve">
IFERROR(
INDEX($BO$206:$FQ$602,
MATCH(
_xlfn.CONCAT($B$1008,"|",$G$1045,"|",G1050),
$BK$206:$BK$602,0),
MATCH(
$I$1010,
$BO$205:$FQ$205,0)
),0)</f>
        <v>0</v>
      </c>
      <c r="J1050" s="33">
        <f t="shared" si="155"/>
        <v>0</v>
      </c>
    </row>
    <row r="1051" spans="7:10" ht="28" customHeight="1" x14ac:dyDescent="0.35">
      <c r="G1051" s="39" t="s">
        <v>243</v>
      </c>
      <c r="H1051" s="80">
        <f>IFERROR(SUM(H1046:H1050),0)</f>
        <v>12811673</v>
      </c>
      <c r="I1051" s="80">
        <f>IFERROR(SUM(I1046:I1050),0)</f>
        <v>12521915</v>
      </c>
      <c r="J1051" s="139">
        <f>IFERROR(((H1051/I1051)-1)*100,0)</f>
        <v>2.3140070827824655</v>
      </c>
    </row>
    <row r="1053" spans="7:10" ht="28" customHeight="1" x14ac:dyDescent="0.35">
      <c r="G1053" s="39" t="s">
        <v>244</v>
      </c>
      <c r="H1053" s="80">
        <f>IFERROR(SUM(H1051,H1043),0)</f>
        <v>40934690</v>
      </c>
      <c r="I1053" s="80">
        <f>IFERROR(SUM(I1051,I1043),0)</f>
        <v>38255250</v>
      </c>
      <c r="J1053" s="139">
        <f>IFERROR(((H1053/I1053)-1)*100,0)</f>
        <v>7.0041105469184073</v>
      </c>
    </row>
    <row r="2006" spans="2:10" ht="45" customHeight="1" x14ac:dyDescent="0.35">
      <c r="B2006" s="481" t="s">
        <v>233</v>
      </c>
      <c r="C2006" s="481"/>
      <c r="D2006" s="481"/>
      <c r="E2006" s="481"/>
      <c r="F2006" s="481"/>
      <c r="G2006" s="481"/>
      <c r="H2006" s="481"/>
      <c r="I2006" s="481"/>
      <c r="J2006" s="481"/>
    </row>
    <row r="2007" spans="2:10" ht="10" customHeight="1" x14ac:dyDescent="0.35">
      <c r="B2007" s="29"/>
      <c r="C2007" s="29"/>
      <c r="D2007" s="29"/>
      <c r="E2007" s="29"/>
      <c r="F2007" s="29"/>
      <c r="G2007" s="29"/>
      <c r="H2007" s="29"/>
      <c r="I2007" s="134"/>
      <c r="J2007" s="134"/>
    </row>
    <row r="2008" spans="2:10" ht="40" customHeight="1" x14ac:dyDescent="0.35">
      <c r="B2008" s="112" t="s">
        <v>117</v>
      </c>
      <c r="C2008" s="117"/>
      <c r="D2008" s="117"/>
      <c r="E2008" s="117"/>
      <c r="F2008" s="117"/>
      <c r="G2008" s="117"/>
      <c r="H2008" s="117"/>
      <c r="I2008" s="482" t="s">
        <v>246</v>
      </c>
      <c r="J2008" s="482"/>
    </row>
    <row r="2009" spans="2:10" ht="15" customHeight="1" x14ac:dyDescent="0.35">
      <c r="B2009" s="29"/>
      <c r="C2009" s="29"/>
      <c r="D2009" s="29"/>
      <c r="E2009" s="40" t="s">
        <v>25</v>
      </c>
      <c r="F2009" s="29"/>
      <c r="G2009" s="29"/>
      <c r="H2009" s="29"/>
      <c r="I2009" s="29"/>
      <c r="J2009" s="40" t="s">
        <v>25</v>
      </c>
    </row>
    <row r="2010" spans="2:10" ht="35.15" customHeight="1" x14ac:dyDescent="0.35">
      <c r="B2010" s="169" t="s">
        <v>235</v>
      </c>
      <c r="C2010" s="166" t="str">
        <f>IFERROR(I2008,"")</f>
        <v>jun | 2026</v>
      </c>
      <c r="D2010" s="166" t="str">
        <f>_xlfn.CONCAT("dez"," | ",MID($I$2008,7,4)-1)</f>
        <v>dez | 2025</v>
      </c>
      <c r="E2010" s="166" t="s">
        <v>5</v>
      </c>
      <c r="F2010" s="14"/>
      <c r="G2010" s="169" t="s">
        <v>236</v>
      </c>
      <c r="H2010" s="166" t="str">
        <f>IFERROR(I2008,"")</f>
        <v>jun | 2026</v>
      </c>
      <c r="I2010" s="166" t="str">
        <f>_xlfn.CONCAT("dez"," | ",MID($I$2008,7,4)-1)</f>
        <v>dez | 2025</v>
      </c>
      <c r="J2010" s="166" t="s">
        <v>5</v>
      </c>
    </row>
    <row r="2011" spans="2:10" ht="23.15" customHeight="1" x14ac:dyDescent="0.35">
      <c r="B2011" s="42" t="s">
        <v>237</v>
      </c>
      <c r="C2011" s="43">
        <f>IFERROR(SUM(C2012:C2025),0)</f>
        <v>4620538</v>
      </c>
      <c r="D2011" s="43">
        <f>IFERROR(SUM(D2012:D2025),0)</f>
        <v>3163304</v>
      </c>
      <c r="E2011" s="47">
        <f>IFERROR(((C2011/D2011)-1)*100,0)</f>
        <v>46.066833917954142</v>
      </c>
      <c r="F2011" s="9"/>
      <c r="G2011" s="17" t="s">
        <v>237</v>
      </c>
      <c r="H2011" s="24">
        <f>IFERROR(SUM(H2012:H2024),0)</f>
        <v>2142250</v>
      </c>
      <c r="I2011" s="24">
        <f>IFERROR(SUM(I2012:I2024),0)</f>
        <v>2600825</v>
      </c>
      <c r="J2011" s="63">
        <f>IFERROR(((H2011/I2011)-1)*100,0)</f>
        <v>-17.631905260830692</v>
      </c>
    </row>
    <row r="2012" spans="2:10" ht="19" customHeight="1" x14ac:dyDescent="0.35">
      <c r="B2012" s="5" t="str">
        <f t="shared" ref="B2012:B2021" si="156">BO373</f>
        <v>Caixa e equivalentes de caixa</v>
      </c>
      <c r="C2012" s="21">
        <f t="shared" ref="C2012:C2025" si="157" xml:space="preserve">
IFERROR(
INDEX($BO$206:$FQ$602,
MATCH(
_xlfn.CONCAT($B$2008,"|",$B$2010,"|",$B$2011,"|",B2012),
$BK$206:$BK$602,0),
MATCH(
$C$2010,
$BO$205:$FQ$205,0)
),0)</f>
        <v>1207364</v>
      </c>
      <c r="D2012" s="21">
        <f t="shared" ref="D2012:D2025" si="158" xml:space="preserve">
IFERROR(
INDEX($BO$206:$FQ$602,
MATCH(
_xlfn.CONCAT($B$2008,"|",$B$2010,"|",$B$2011,"|",B2012),
$BK$206:$BK$602,0),
MATCH(
$D$2010,
$BO$205:$FQ$205,0)
),0)</f>
        <v>226202</v>
      </c>
      <c r="E2012" s="59">
        <f>IFERROR(((C2012/D2012)-1)*100,0)</f>
        <v>433.75478554566268</v>
      </c>
      <c r="F2012" s="10"/>
      <c r="G2012" s="6" t="str">
        <f t="shared" ref="G2012:G2024" si="159">BO408</f>
        <v>Fornecedores</v>
      </c>
      <c r="H2012" s="25">
        <f t="shared" ref="H2012:H2024" si="160" xml:space="preserve">
IFERROR(
INDEX($BO$206:$FQ$602,
MATCH(
_xlfn.CONCAT($B$2008,"|",$G$2010,"|",$G$2011,"|",G2012),
$BK$206:$BK$602,0),
MATCH(
$H$2010,
$BO$205:$FQ$205,0)
),0)</f>
        <v>662850</v>
      </c>
      <c r="I2012" s="25">
        <f t="shared" ref="I2012:I2024" si="161" xml:space="preserve">
IFERROR(
INDEX($BO$206:$FQ$602,
MATCH(
_xlfn.CONCAT($B$2008,"|",$G$2010,"|",$G$2011,"|",G2012),
$BK$206:$BK$602,0),
MATCH(
$I$2010,
$BO$205:$FQ$205,0)
),0)</f>
        <v>535555</v>
      </c>
      <c r="J2012" s="33">
        <f>IFERROR(((H2012/I2012)-1)*100,0)</f>
        <v>23.768800590042115</v>
      </c>
    </row>
    <row r="2013" spans="2:10" ht="19" customHeight="1" x14ac:dyDescent="0.35">
      <c r="B2013" s="5" t="str">
        <f t="shared" si="156"/>
        <v>Títulos e valores mobiliários</v>
      </c>
      <c r="C2013" s="21">
        <f t="shared" si="157"/>
        <v>505034</v>
      </c>
      <c r="D2013" s="21">
        <f t="shared" si="158"/>
        <v>237689</v>
      </c>
      <c r="E2013" s="59">
        <f t="shared" ref="E2013:E2041" si="162">IFERROR(((C2013/D2013)-1)*100,0)</f>
        <v>112.47680792968961</v>
      </c>
      <c r="F2013" s="10"/>
      <c r="G2013" s="6" t="str">
        <f t="shared" si="159"/>
        <v>Debêntures e empréstimos</v>
      </c>
      <c r="H2013" s="25">
        <f t="shared" si="160"/>
        <v>512987</v>
      </c>
      <c r="I2013" s="25">
        <f t="shared" si="161"/>
        <v>500254</v>
      </c>
      <c r="J2013" s="33">
        <f t="shared" ref="J2013:J2024" si="163">IFERROR(((H2013/I2013)-1)*100,0)</f>
        <v>2.5453069840521092</v>
      </c>
    </row>
    <row r="2014" spans="2:10" ht="19" customHeight="1" x14ac:dyDescent="0.35">
      <c r="B2014" s="5" t="str">
        <f t="shared" si="156"/>
        <v>Consumidores e revendedores</v>
      </c>
      <c r="C2014" s="21">
        <f t="shared" si="157"/>
        <v>682633</v>
      </c>
      <c r="D2014" s="21">
        <f t="shared" si="158"/>
        <v>670112</v>
      </c>
      <c r="E2014" s="59">
        <f t="shared" si="162"/>
        <v>1.8684936249462769</v>
      </c>
      <c r="F2014" s="10"/>
      <c r="G2014" s="6" t="str">
        <f t="shared" si="159"/>
        <v>Imposto de renda e contribuição social</v>
      </c>
      <c r="H2014" s="25">
        <f t="shared" si="160"/>
        <v>11251</v>
      </c>
      <c r="I2014" s="25">
        <f t="shared" si="161"/>
        <v>32306</v>
      </c>
      <c r="J2014" s="33">
        <f t="shared" si="163"/>
        <v>-65.173651953197549</v>
      </c>
    </row>
    <row r="2015" spans="2:10" ht="19" customHeight="1" x14ac:dyDescent="0.35">
      <c r="B2015" s="5" t="str">
        <f t="shared" si="156"/>
        <v>Concessionários - transporte de energia</v>
      </c>
      <c r="C2015" s="21">
        <f t="shared" si="157"/>
        <v>142113</v>
      </c>
      <c r="D2015" s="21">
        <f t="shared" si="158"/>
        <v>134401</v>
      </c>
      <c r="E2015" s="59">
        <f t="shared" si="162"/>
        <v>5.7380525442519037</v>
      </c>
      <c r="F2015" s="10"/>
      <c r="G2015" s="6" t="str">
        <f t="shared" si="159"/>
        <v>Impostos, taxas e contribuições</v>
      </c>
      <c r="H2015" s="25">
        <f t="shared" si="160"/>
        <v>213636</v>
      </c>
      <c r="I2015" s="25">
        <f t="shared" si="161"/>
        <v>193635</v>
      </c>
      <c r="J2015" s="33">
        <f t="shared" si="163"/>
        <v>10.329227670617392</v>
      </c>
    </row>
    <row r="2016" spans="2:10" ht="19" customHeight="1" x14ac:dyDescent="0.35">
      <c r="B2016" s="5" t="str">
        <f t="shared" si="156"/>
        <v>Tributos a recuperar</v>
      </c>
      <c r="C2016" s="21">
        <f t="shared" si="157"/>
        <v>64625</v>
      </c>
      <c r="D2016" s="21">
        <f t="shared" si="158"/>
        <v>55934</v>
      </c>
      <c r="E2016" s="59">
        <f t="shared" si="162"/>
        <v>15.537955447491679</v>
      </c>
      <c r="F2016" s="10"/>
      <c r="G2016" s="6" t="str">
        <f t="shared" si="159"/>
        <v>Encargos regulatórios</v>
      </c>
      <c r="H2016" s="25">
        <f t="shared" si="160"/>
        <v>107098</v>
      </c>
      <c r="I2016" s="25">
        <f t="shared" si="161"/>
        <v>101479</v>
      </c>
      <c r="J2016" s="33">
        <f t="shared" si="163"/>
        <v>5.5371061993121806</v>
      </c>
    </row>
    <row r="2017" spans="2:10" ht="19" customHeight="1" x14ac:dyDescent="0.35">
      <c r="B2017" s="5" t="str">
        <f t="shared" si="156"/>
        <v>Imposto de renda e contribuição social a recuperar</v>
      </c>
      <c r="C2017" s="21">
        <f t="shared" si="157"/>
        <v>49602</v>
      </c>
      <c r="D2017" s="21">
        <f t="shared" si="158"/>
        <v>118761</v>
      </c>
      <c r="E2017" s="59">
        <f t="shared" si="162"/>
        <v>-58.233763609265665</v>
      </c>
      <c r="F2017" s="10"/>
      <c r="G2017" s="6" t="str">
        <f t="shared" si="159"/>
        <v>Obrigações pós-emprego</v>
      </c>
      <c r="H2017" s="25">
        <f t="shared" si="160"/>
        <v>35438</v>
      </c>
      <c r="I2017" s="25">
        <f t="shared" si="161"/>
        <v>29794</v>
      </c>
      <c r="J2017" s="33">
        <f t="shared" si="163"/>
        <v>18.943411425119152</v>
      </c>
    </row>
    <row r="2018" spans="2:10" ht="19" customHeight="1" x14ac:dyDescent="0.35">
      <c r="B2018" s="5" t="str">
        <f t="shared" si="156"/>
        <v>Dividendos a receber</v>
      </c>
      <c r="C2018" s="21">
        <f t="shared" si="157"/>
        <v>3345</v>
      </c>
      <c r="D2018" s="21">
        <f t="shared" si="158"/>
        <v>3345</v>
      </c>
      <c r="E2018" s="59">
        <f t="shared" si="162"/>
        <v>0</v>
      </c>
      <c r="F2018" s="10"/>
      <c r="G2018" s="6" t="str">
        <f t="shared" si="159"/>
        <v>Indenização compensatória</v>
      </c>
      <c r="H2018" s="25">
        <f t="shared" si="160"/>
        <v>47146</v>
      </c>
      <c r="I2018" s="25">
        <f t="shared" si="161"/>
        <v>94525</v>
      </c>
      <c r="J2018" s="33">
        <f t="shared" si="163"/>
        <v>-50.123247818037562</v>
      </c>
    </row>
    <row r="2019" spans="2:10" ht="19" customHeight="1" x14ac:dyDescent="0.35">
      <c r="B2019" s="5" t="str">
        <f t="shared" si="156"/>
        <v>Ativo financeiro da concessão</v>
      </c>
      <c r="C2019" s="21">
        <f t="shared" si="157"/>
        <v>359631</v>
      </c>
      <c r="D2019" s="21">
        <f t="shared" si="158"/>
        <v>346505</v>
      </c>
      <c r="E2019" s="59">
        <f t="shared" si="162"/>
        <v>3.7881127256460978</v>
      </c>
      <c r="F2019" s="10"/>
      <c r="G2019" s="6" t="str">
        <f t="shared" si="159"/>
        <v>Juros sobre capital próprio e dividendos a pagar</v>
      </c>
      <c r="H2019" s="25">
        <f t="shared" si="160"/>
        <v>285818</v>
      </c>
      <c r="I2019" s="25">
        <f t="shared" si="161"/>
        <v>908636</v>
      </c>
      <c r="J2019" s="33">
        <f t="shared" si="163"/>
        <v>-68.544279557490569</v>
      </c>
    </row>
    <row r="2020" spans="2:10" ht="19" customHeight="1" x14ac:dyDescent="0.35">
      <c r="B2020" s="5" t="str">
        <f t="shared" si="156"/>
        <v>Ativos de contrato</v>
      </c>
      <c r="C2020" s="21">
        <f t="shared" si="157"/>
        <v>1286936</v>
      </c>
      <c r="D2020" s="21">
        <f t="shared" si="158"/>
        <v>1106077</v>
      </c>
      <c r="E2020" s="59">
        <f t="shared" si="162"/>
        <v>16.351393257431447</v>
      </c>
      <c r="F2020" s="10"/>
      <c r="G2020" s="6" t="str">
        <f t="shared" si="159"/>
        <v>Salários e encargos sociais</v>
      </c>
      <c r="H2020" s="25">
        <f t="shared" si="160"/>
        <v>67886</v>
      </c>
      <c r="I2020" s="25">
        <f t="shared" si="161"/>
        <v>54148</v>
      </c>
      <c r="J2020" s="33">
        <f t="shared" si="163"/>
        <v>25.371204845977701</v>
      </c>
    </row>
    <row r="2021" spans="2:10" ht="19" customHeight="1" x14ac:dyDescent="0.35">
      <c r="B2021" s="5" t="str">
        <f t="shared" si="156"/>
        <v>Adiantamento a fornecedores</v>
      </c>
      <c r="C2021" s="21">
        <f t="shared" si="157"/>
        <v>0</v>
      </c>
      <c r="D2021" s="21">
        <f t="shared" si="158"/>
        <v>0</v>
      </c>
      <c r="E2021" s="59">
        <f t="shared" si="162"/>
        <v>0</v>
      </c>
      <c r="F2021" s="10"/>
      <c r="G2021" s="6" t="str">
        <f>BO417</f>
        <v>Instrumentos financeiros derivativos</v>
      </c>
      <c r="H2021" s="25">
        <f t="shared" si="160"/>
        <v>32312</v>
      </c>
      <c r="I2021" s="25">
        <f t="shared" si="161"/>
        <v>8508</v>
      </c>
      <c r="J2021" s="33">
        <f t="shared" si="163"/>
        <v>279.78373295721673</v>
      </c>
    </row>
    <row r="2022" spans="2:10" ht="19" customHeight="1" x14ac:dyDescent="0.35">
      <c r="B2022" s="5" t="str">
        <f>BO383</f>
        <v>Ativos classificados como mantidos para venda</v>
      </c>
      <c r="C2022" s="21">
        <f t="shared" si="157"/>
        <v>0</v>
      </c>
      <c r="D2022" s="21">
        <f t="shared" si="158"/>
        <v>0</v>
      </c>
      <c r="E2022" s="59">
        <f t="shared" si="162"/>
        <v>0</v>
      </c>
      <c r="F2022" s="10"/>
      <c r="G2022" s="6" t="str">
        <f t="shared" si="159"/>
        <v>Instrumentos financeiros - Opção de venda</v>
      </c>
      <c r="H2022" s="25">
        <f t="shared" si="160"/>
        <v>0</v>
      </c>
      <c r="I2022" s="25">
        <f t="shared" si="161"/>
        <v>0</v>
      </c>
      <c r="J2022" s="33">
        <f t="shared" si="163"/>
        <v>0</v>
      </c>
    </row>
    <row r="2023" spans="2:10" ht="19" customHeight="1" x14ac:dyDescent="0.35">
      <c r="B2023" s="5" t="str">
        <f t="shared" ref="B2023:B2025" si="164">BO384</f>
        <v>Prêmio repactuação risco hidrológico</v>
      </c>
      <c r="C2023" s="21">
        <f t="shared" si="157"/>
        <v>0</v>
      </c>
      <c r="D2023" s="21">
        <f t="shared" si="158"/>
        <v>0</v>
      </c>
      <c r="E2023" s="59">
        <f t="shared" si="162"/>
        <v>0</v>
      </c>
      <c r="F2023" s="10"/>
      <c r="G2023" s="6" t="str">
        <f t="shared" si="159"/>
        <v>Passivo de arrendamentos</v>
      </c>
      <c r="H2023" s="25">
        <f t="shared" si="160"/>
        <v>24731</v>
      </c>
      <c r="I2023" s="25">
        <f t="shared" si="161"/>
        <v>19634</v>
      </c>
      <c r="J2023" s="33">
        <f t="shared" si="163"/>
        <v>25.960069267597021</v>
      </c>
    </row>
    <row r="2024" spans="2:10" ht="19" customHeight="1" x14ac:dyDescent="0.35">
      <c r="B2024" s="5" t="str">
        <f t="shared" si="164"/>
        <v>Instrumentos financeiros derivativos</v>
      </c>
      <c r="C2024" s="21">
        <f t="shared" si="157"/>
        <v>0</v>
      </c>
      <c r="D2024" s="21">
        <f t="shared" si="158"/>
        <v>0</v>
      </c>
      <c r="E2024" s="59">
        <f t="shared" si="162"/>
        <v>0</v>
      </c>
      <c r="F2024" s="10"/>
      <c r="G2024" s="6" t="str">
        <f t="shared" si="159"/>
        <v>Outros passivos</v>
      </c>
      <c r="H2024" s="25">
        <f t="shared" si="160"/>
        <v>141097</v>
      </c>
      <c r="I2024" s="25">
        <f t="shared" si="161"/>
        <v>122351</v>
      </c>
      <c r="J2024" s="33">
        <f t="shared" si="163"/>
        <v>15.321493081380622</v>
      </c>
    </row>
    <row r="2025" spans="2:10" ht="19" customHeight="1" x14ac:dyDescent="0.35">
      <c r="B2025" s="5" t="str">
        <f t="shared" si="164"/>
        <v>Outros ativos</v>
      </c>
      <c r="C2025" s="21">
        <f t="shared" si="157"/>
        <v>319255</v>
      </c>
      <c r="D2025" s="21">
        <f t="shared" si="158"/>
        <v>264278</v>
      </c>
      <c r="E2025" s="59">
        <f t="shared" si="162"/>
        <v>20.802715322501307</v>
      </c>
      <c r="F2025" s="10"/>
      <c r="G2025" s="18" t="s">
        <v>238</v>
      </c>
      <c r="H2025" s="26">
        <f>IFERROR(SUM(H2026:H2035),0)</f>
        <v>7810025</v>
      </c>
      <c r="I2025" s="26">
        <f>IFERROR(SUM(I2026:I2035),0)</f>
        <v>5659738</v>
      </c>
      <c r="J2025" s="63">
        <f t="shared" ref="J2025:J2036" si="165">IFERROR(((H2025/I2025)-1)*100,0)</f>
        <v>37.992695068216939</v>
      </c>
    </row>
    <row r="2026" spans="2:10" ht="23.15" customHeight="1" x14ac:dyDescent="0.35">
      <c r="B2026" s="4" t="s">
        <v>238</v>
      </c>
      <c r="C2026" s="22">
        <f>IFERROR(SUM(C2027,C2039:C2042),0)</f>
        <v>16123165</v>
      </c>
      <c r="D2026" s="22">
        <f>IFERROR(SUM(D2027,D2039:D2042),0)</f>
        <v>15989704</v>
      </c>
      <c r="E2026" s="61">
        <f t="shared" si="162"/>
        <v>0.83466835908907466</v>
      </c>
      <c r="F2026" s="12"/>
      <c r="G2026" s="6" t="str">
        <f t="shared" ref="G2026:G2035" si="166">BO422</f>
        <v>Debêntures e empréstimos</v>
      </c>
      <c r="H2026" s="25">
        <f t="shared" ref="H2026:H2035" si="167" xml:space="preserve">
IFERROR(
INDEX($BO$206:$FQ$602,
MATCH(
_xlfn.CONCAT($B$2008,"|",$G$2010,"|",$G$2025,"|",G2026),
$BK$206:$BK$602,0),
MATCH(
$H$2010,
$BO$205:$FQ$205,0)
),0)</f>
        <v>4711314</v>
      </c>
      <c r="I2026" s="25">
        <f t="shared" ref="I2026:I2035" si="168" xml:space="preserve">
IFERROR(
INDEX($BO$206:$FQ$602,
MATCH(
_xlfn.CONCAT($B$2008,"|",$G$2010,"|",$G$2025,"|",G2026),
$BK$206:$BK$602,0),
MATCH(
$I$2010,
$BO$205:$FQ$205,0)
),0)</f>
        <v>2655114</v>
      </c>
      <c r="J2026" s="33">
        <f t="shared" si="165"/>
        <v>77.443002447352541</v>
      </c>
    </row>
    <row r="2027" spans="2:10" ht="19" customHeight="1" x14ac:dyDescent="0.35">
      <c r="B2027" s="7" t="s">
        <v>239</v>
      </c>
      <c r="C2027" s="23">
        <f>IFERROR(SUM(C2028:C2038),0)</f>
        <v>9577094</v>
      </c>
      <c r="D2027" s="23">
        <f>IFERROR(SUM(D2028:D2038),0)</f>
        <v>9465312</v>
      </c>
      <c r="E2027" s="60">
        <f t="shared" si="162"/>
        <v>1.1809647690430136</v>
      </c>
      <c r="F2027" s="10"/>
      <c r="G2027" s="6" t="str">
        <f t="shared" si="166"/>
        <v>Imposto de renda e contribuição social diferidos</v>
      </c>
      <c r="H2027" s="25">
        <f t="shared" si="167"/>
        <v>1306130</v>
      </c>
      <c r="I2027" s="25">
        <f t="shared" si="168"/>
        <v>1352718</v>
      </c>
      <c r="J2027" s="33">
        <f t="shared" si="165"/>
        <v>-3.4440289846072836</v>
      </c>
    </row>
    <row r="2028" spans="2:10" ht="19" customHeight="1" x14ac:dyDescent="0.35">
      <c r="B2028" s="6" t="str">
        <f t="shared" ref="B2028:B2042" si="169">BO389</f>
        <v>Títulos e valores mobiliários</v>
      </c>
      <c r="C2028" s="21">
        <f t="shared" ref="C2028:C2038" si="170" xml:space="preserve">
IFERROR(
INDEX($BO$206:$FQ$602,
MATCH(
_xlfn.CONCAT($B$2008,"|",$B$2010,"|",$B$2026,"|",B2028),
$BK$206:$BK$602,0),
MATCH(
$C$2010,
$BO$205:$FQ$205,0)
),0)</f>
        <v>0</v>
      </c>
      <c r="D2028" s="21">
        <f t="shared" ref="D2028:D2038" si="171" xml:space="preserve">
IFERROR(
INDEX($BO$206:$FQ$602,
MATCH(
_xlfn.CONCAT($B$2008,"|",$B$2010,"|",$B$2026,"|",B2028),
$BK$206:$BK$602,0),
MATCH(
$D$2010,
$BO$205:$FQ$205,0)
),0)</f>
        <v>0</v>
      </c>
      <c r="E2028" s="59">
        <f t="shared" si="162"/>
        <v>0</v>
      </c>
      <c r="F2028" s="10"/>
      <c r="G2028" s="6" t="str">
        <f t="shared" si="166"/>
        <v>Impostos, taxas e contribuições</v>
      </c>
      <c r="H2028" s="25">
        <f t="shared" si="167"/>
        <v>495789</v>
      </c>
      <c r="I2028" s="25">
        <f t="shared" si="168"/>
        <v>480693</v>
      </c>
      <c r="J2028" s="33">
        <f t="shared" si="165"/>
        <v>3.1404659522813905</v>
      </c>
    </row>
    <row r="2029" spans="2:10" ht="19" customHeight="1" x14ac:dyDescent="0.35">
      <c r="B2029" s="6" t="str">
        <f t="shared" si="169"/>
        <v>Consumidores e revendedores</v>
      </c>
      <c r="C2029" s="21">
        <f t="shared" si="170"/>
        <v>16</v>
      </c>
      <c r="D2029" s="21">
        <f t="shared" si="171"/>
        <v>482</v>
      </c>
      <c r="E2029" s="59">
        <f t="shared" si="162"/>
        <v>-96.680497925311201</v>
      </c>
      <c r="F2029" s="10"/>
      <c r="G2029" s="6" t="str">
        <f t="shared" si="166"/>
        <v>Encargos regulatórios</v>
      </c>
      <c r="H2029" s="25">
        <f t="shared" si="167"/>
        <v>2940</v>
      </c>
      <c r="I2029" s="25">
        <f t="shared" si="168"/>
        <v>2149</v>
      </c>
      <c r="J2029" s="33">
        <f t="shared" si="165"/>
        <v>36.807817589576544</v>
      </c>
    </row>
    <row r="2030" spans="2:10" ht="19" customHeight="1" x14ac:dyDescent="0.35">
      <c r="B2030" s="6" t="str">
        <f t="shared" si="169"/>
        <v>Imposto de renda e contribuição social diferidos</v>
      </c>
      <c r="C2030" s="21">
        <f t="shared" si="170"/>
        <v>9108</v>
      </c>
      <c r="D2030" s="21">
        <f t="shared" si="171"/>
        <v>8493</v>
      </c>
      <c r="E2030" s="59">
        <f t="shared" si="162"/>
        <v>7.2412575061815643</v>
      </c>
      <c r="F2030" s="10"/>
      <c r="G2030" s="6" t="str">
        <f t="shared" si="166"/>
        <v>Obrigações pós-emprego</v>
      </c>
      <c r="H2030" s="25">
        <f t="shared" si="167"/>
        <v>317218</v>
      </c>
      <c r="I2030" s="25">
        <f t="shared" si="168"/>
        <v>322268</v>
      </c>
      <c r="J2030" s="33">
        <f t="shared" si="165"/>
        <v>-1.5670187545769321</v>
      </c>
    </row>
    <row r="2031" spans="2:10" ht="23.15" customHeight="1" x14ac:dyDescent="0.35">
      <c r="B2031" s="6" t="str">
        <f t="shared" si="169"/>
        <v>Tributos a recuperar</v>
      </c>
      <c r="C2031" s="21">
        <f t="shared" si="170"/>
        <v>59544</v>
      </c>
      <c r="D2031" s="21">
        <f t="shared" si="171"/>
        <v>70115</v>
      </c>
      <c r="E2031" s="59">
        <f t="shared" si="162"/>
        <v>-15.076659773229695</v>
      </c>
      <c r="F2031" s="10"/>
      <c r="G2031" s="6" t="str">
        <f t="shared" si="166"/>
        <v>Provisões para contingências</v>
      </c>
      <c r="H2031" s="25">
        <f t="shared" si="167"/>
        <v>636899</v>
      </c>
      <c r="I2031" s="25">
        <f t="shared" si="168"/>
        <v>438572</v>
      </c>
      <c r="J2031" s="33">
        <f t="shared" si="165"/>
        <v>45.221081145171141</v>
      </c>
    </row>
    <row r="2032" spans="2:10" ht="19" customHeight="1" x14ac:dyDescent="0.35">
      <c r="B2032" s="6" t="str">
        <f t="shared" si="169"/>
        <v>Imposto de renda e contribuição social a recuperar</v>
      </c>
      <c r="C2032" s="21">
        <f t="shared" si="170"/>
        <v>153815</v>
      </c>
      <c r="D2032" s="21">
        <f t="shared" si="171"/>
        <v>147344</v>
      </c>
      <c r="E2032" s="59">
        <f t="shared" si="162"/>
        <v>4.3917634922358673</v>
      </c>
      <c r="F2032" s="10"/>
      <c r="G2032" s="6" t="str">
        <f t="shared" si="166"/>
        <v>Indenização compensatória</v>
      </c>
      <c r="H2032" s="25">
        <f t="shared" si="167"/>
        <v>141194</v>
      </c>
      <c r="I2032" s="25">
        <f t="shared" si="168"/>
        <v>188834</v>
      </c>
      <c r="J2032" s="33">
        <f t="shared" si="165"/>
        <v>-25.228507578084457</v>
      </c>
    </row>
    <row r="2033" spans="2:10" ht="19" customHeight="1" x14ac:dyDescent="0.35">
      <c r="B2033" s="6" t="str">
        <f t="shared" si="169"/>
        <v>Depósitos vinculados a litígios</v>
      </c>
      <c r="C2033" s="21">
        <f t="shared" si="170"/>
        <v>174432</v>
      </c>
      <c r="D2033" s="21">
        <f t="shared" si="171"/>
        <v>203106</v>
      </c>
      <c r="E2033" s="59">
        <f t="shared" si="162"/>
        <v>-14.117751321969807</v>
      </c>
      <c r="F2033" s="10"/>
      <c r="G2033" s="6" t="str">
        <f t="shared" si="166"/>
        <v>Opções de venda</v>
      </c>
      <c r="H2033" s="25">
        <f t="shared" si="167"/>
        <v>0</v>
      </c>
      <c r="I2033" s="25">
        <f t="shared" si="168"/>
        <v>0</v>
      </c>
      <c r="J2033" s="33">
        <f t="shared" si="165"/>
        <v>0</v>
      </c>
    </row>
    <row r="2034" spans="2:10" ht="19" customHeight="1" x14ac:dyDescent="0.35">
      <c r="B2034" s="6" t="str">
        <f t="shared" si="169"/>
        <v>Prêmio repactuação risco hidrológico</v>
      </c>
      <c r="C2034" s="21">
        <f t="shared" si="170"/>
        <v>0</v>
      </c>
      <c r="D2034" s="21">
        <f t="shared" si="171"/>
        <v>0</v>
      </c>
      <c r="E2034" s="59">
        <f t="shared" si="162"/>
        <v>0</v>
      </c>
      <c r="F2034" s="10"/>
      <c r="G2034" s="6" t="str">
        <f t="shared" si="166"/>
        <v>Passivo de arrendamentos</v>
      </c>
      <c r="H2034" s="25">
        <f t="shared" si="167"/>
        <v>113804</v>
      </c>
      <c r="I2034" s="25">
        <f t="shared" si="168"/>
        <v>119654</v>
      </c>
      <c r="J2034" s="33">
        <f t="shared" si="165"/>
        <v>-4.8890968960502823</v>
      </c>
    </row>
    <row r="2035" spans="2:10" ht="19" customHeight="1" x14ac:dyDescent="0.35">
      <c r="B2035" s="6" t="str">
        <f>BO396</f>
        <v>Instrumentos financeiros derivativos</v>
      </c>
      <c r="C2035" s="21">
        <f t="shared" si="170"/>
        <v>0</v>
      </c>
      <c r="D2035" s="21">
        <f t="shared" si="171"/>
        <v>0</v>
      </c>
      <c r="E2035" s="59">
        <f t="shared" si="162"/>
        <v>0</v>
      </c>
      <c r="F2035" s="10"/>
      <c r="G2035" s="6" t="str">
        <f t="shared" si="166"/>
        <v>Outros passivos</v>
      </c>
      <c r="H2035" s="25">
        <f t="shared" si="167"/>
        <v>84737</v>
      </c>
      <c r="I2035" s="25">
        <f t="shared" si="168"/>
        <v>99736</v>
      </c>
      <c r="J2035" s="33">
        <f t="shared" si="165"/>
        <v>-15.038702173738672</v>
      </c>
    </row>
    <row r="2036" spans="2:10" ht="28" customHeight="1" x14ac:dyDescent="0.35">
      <c r="B2036" s="6" t="str">
        <f t="shared" si="169"/>
        <v>Outros ativos</v>
      </c>
      <c r="C2036" s="21">
        <f t="shared" si="170"/>
        <v>45191</v>
      </c>
      <c r="D2036" s="21">
        <f t="shared" si="171"/>
        <v>65079</v>
      </c>
      <c r="E2036" s="59">
        <f t="shared" si="162"/>
        <v>-30.559781189016423</v>
      </c>
      <c r="F2036" s="10"/>
      <c r="G2036" s="39" t="s">
        <v>240</v>
      </c>
      <c r="H2036" s="80">
        <f>IFERROR(SUM(H2025,H2011),0)</f>
        <v>9952275</v>
      </c>
      <c r="I2036" s="80">
        <f>IFERROR(SUM(I2025,I2011),0)</f>
        <v>8260563</v>
      </c>
      <c r="J2036" s="140">
        <f t="shared" si="165"/>
        <v>20.479378947899797</v>
      </c>
    </row>
    <row r="2037" spans="2:10" ht="19" customHeight="1" x14ac:dyDescent="0.35">
      <c r="B2037" s="6" t="str">
        <f t="shared" si="169"/>
        <v>Ativo financeiro da concessão</v>
      </c>
      <c r="C2037" s="21">
        <f t="shared" si="170"/>
        <v>3977465</v>
      </c>
      <c r="D2037" s="21">
        <f t="shared" si="171"/>
        <v>3832591</v>
      </c>
      <c r="E2037" s="59">
        <f t="shared" si="162"/>
        <v>3.7800537547575619</v>
      </c>
      <c r="F2037" s="10"/>
      <c r="H2037" s="27"/>
    </row>
    <row r="2038" spans="2:10" ht="19" customHeight="1" x14ac:dyDescent="0.35">
      <c r="B2038" s="6" t="str">
        <f t="shared" si="169"/>
        <v>Ativos de contrato</v>
      </c>
      <c r="C2038" s="21">
        <f t="shared" si="170"/>
        <v>5157523</v>
      </c>
      <c r="D2038" s="21">
        <f t="shared" si="171"/>
        <v>5138102</v>
      </c>
      <c r="E2038" s="59">
        <f t="shared" si="162"/>
        <v>0.37798004010041186</v>
      </c>
      <c r="F2038" s="10"/>
    </row>
    <row r="2039" spans="2:10" ht="20.149999999999999" customHeight="1" x14ac:dyDescent="0.35">
      <c r="B2039" s="7" t="str">
        <f t="shared" si="169"/>
        <v>Investimentos</v>
      </c>
      <c r="C2039" s="23">
        <f xml:space="preserve">
IFERROR(
INDEX($BO$206:$FQ$602,
MATCH(
_xlfn.CONCAT($B$2008,"|",$B$2010,"|",B2039),
$BK$206:$BK$602,0),
MATCH(
$C$2010,
$BO$205:$FQ$205,0)
),0)</f>
        <v>1133318</v>
      </c>
      <c r="D2039" s="23">
        <f xml:space="preserve">
IFERROR(
INDEX($BO$206:$FQ$602,
MATCH(
_xlfn.CONCAT($B$2008,"|",$B$2010,"|",B2039),
$BK$206:$BK$602,0),
MATCH(
$D$2010,
$BO$205:$FQ$205,0)
),0)</f>
        <v>1240207</v>
      </c>
      <c r="E2039" s="60">
        <f t="shared" si="162"/>
        <v>-8.6186418880074065</v>
      </c>
      <c r="F2039" s="10"/>
    </row>
    <row r="2040" spans="2:10" ht="20.149999999999999" customHeight="1" x14ac:dyDescent="0.35">
      <c r="B2040" s="7" t="str">
        <f t="shared" si="169"/>
        <v>Imobilizado</v>
      </c>
      <c r="C2040" s="23">
        <f xml:space="preserve">
IFERROR(
INDEX($BO$206:$FQ$602,
MATCH(
_xlfn.CONCAT($B$2008,"|",$B$2010,"|",B2040),
$BK$206:$BK$602,0),
MATCH(
$C$2010,
$BO$205:$FQ$205,0)
),0)</f>
        <v>4313306</v>
      </c>
      <c r="D2040" s="23">
        <f xml:space="preserve">
IFERROR(
INDEX($BO$206:$FQ$602,
MATCH(
_xlfn.CONCAT($B$2008,"|",$B$2010,"|",B2040),
$BK$206:$BK$602,0),
MATCH(
$D$2010,
$BO$205:$FQ$205,0)
),0)</f>
        <v>4188713</v>
      </c>
      <c r="E2040" s="60">
        <f t="shared" si="162"/>
        <v>2.9744935974367337</v>
      </c>
      <c r="F2040" s="10"/>
    </row>
    <row r="2041" spans="2:10" ht="20.149999999999999" customHeight="1" x14ac:dyDescent="0.35">
      <c r="B2041" s="7" t="str">
        <f t="shared" si="169"/>
        <v>Intangível</v>
      </c>
      <c r="C2041" s="23">
        <f xml:space="preserve">
IFERROR(
INDEX($BO$206:$FQ$602,
MATCH(
_xlfn.CONCAT($B$2008,"|",$B$2010,"|",B2041),
$BK$206:$BK$602,0),
MATCH(
$C$2010,
$BO$205:$FQ$205,0)
),0)</f>
        <v>973792</v>
      </c>
      <c r="D2041" s="23">
        <f xml:space="preserve">
IFERROR(
INDEX($BO$206:$FQ$602,
MATCH(
_xlfn.CONCAT($B$2008,"|",$B$2010,"|",B2041),
$BK$206:$BK$602,0),
MATCH(
$D$2010,
$BO$205:$FQ$205,0)
),0)</f>
        <v>967891</v>
      </c>
      <c r="E2041" s="60">
        <f t="shared" si="162"/>
        <v>0.60967608955966313</v>
      </c>
      <c r="F2041" s="10"/>
    </row>
    <row r="2042" spans="2:10" ht="20.149999999999999" customHeight="1" x14ac:dyDescent="0.35">
      <c r="B2042" s="7" t="str">
        <f t="shared" si="169"/>
        <v>Direito de uso</v>
      </c>
      <c r="C2042" s="23">
        <f xml:space="preserve">
IFERROR(
INDEX($BO$206:$FQ$602,
MATCH(
_xlfn.CONCAT($B$2008,"|",$B$2010,"|",B2042),
$BK$206:$BK$602,0),
MATCH(
$C$2010,
$BO$205:$FQ$205,0)
),0)</f>
        <v>125655</v>
      </c>
      <c r="D2042" s="23">
        <f xml:space="preserve">
IFERROR(
INDEX($BO$206:$FQ$602,
MATCH(
_xlfn.CONCAT($B$2008,"|",$B$2010,"|",B2042),
$BK$206:$BK$602,0),
MATCH(
$D$2010,
$BO$205:$FQ$205,0)
),0)</f>
        <v>127581</v>
      </c>
      <c r="E2042" s="60">
        <f>IFERROR(((C2042/D2042)-1)*100,0)</f>
        <v>-1.5096291767582981</v>
      </c>
      <c r="F2042" s="10"/>
    </row>
    <row r="2043" spans="2:10" ht="28" customHeight="1" x14ac:dyDescent="0.35">
      <c r="B2043" s="39" t="s">
        <v>241</v>
      </c>
      <c r="C2043" s="80">
        <f>IFERROR(SUM(C2026,C2011),0)</f>
        <v>20743703</v>
      </c>
      <c r="D2043" s="80">
        <f>SUM(D2026,D2011)</f>
        <v>19153008</v>
      </c>
      <c r="E2043" s="139">
        <f>IFERROR(((C2043/D2043)-1)*100,0)</f>
        <v>8.3051967607385748</v>
      </c>
      <c r="F2043" s="13"/>
    </row>
    <row r="2044" spans="2:10" ht="35.15" customHeight="1" x14ac:dyDescent="0.35">
      <c r="G2044" s="169" t="s">
        <v>242</v>
      </c>
      <c r="H2044" s="166" t="str">
        <f>IFERROR(I2008,"")</f>
        <v>jun | 2026</v>
      </c>
      <c r="I2044" s="166" t="str">
        <f>_xlfn.CONCAT("dez"," | ",MID($I$2008,7,4)-1)</f>
        <v>dez | 2025</v>
      </c>
      <c r="J2044" s="166" t="s">
        <v>5</v>
      </c>
    </row>
    <row r="2045" spans="2:10" ht="19" customHeight="1" x14ac:dyDescent="0.35">
      <c r="G2045" s="6" t="str">
        <f>BO435</f>
        <v>Capital social</v>
      </c>
      <c r="H2045" s="25">
        <f xml:space="preserve">
IFERROR(
INDEX($BO$206:$FQ$602,
MATCH(
_xlfn.CONCAT($B$2008,"|",$G$2044,"|",G2045),
$BK$206:$BK$602,0),
MATCH(
$H$2010,
$BO$205:$FQ$205,0)
),0)</f>
        <v>5473724</v>
      </c>
      <c r="I2045" s="25">
        <f xml:space="preserve">
IFERROR(
INDEX($BO$206:$FQ$602,
MATCH(
_xlfn.CONCAT($B$2008,"|",$G$2044,"|",G2045),
$BK$206:$BK$602,0),
MATCH(
$I$2010,
$BO$205:$FQ$205,0)
),0)</f>
        <v>5473724</v>
      </c>
      <c r="J2045" s="64">
        <f>IFERROR(((H2045/I2045)-1)*100,0)</f>
        <v>0</v>
      </c>
    </row>
    <row r="2046" spans="2:10" ht="19" customHeight="1" x14ac:dyDescent="0.35">
      <c r="G2046" s="6" t="str">
        <f>BO436</f>
        <v>Reservas de lucros</v>
      </c>
      <c r="H2046" s="25">
        <f xml:space="preserve">
IFERROR(
INDEX($BO$206:$FQ$602,
MATCH(
_xlfn.CONCAT($B$2008,"|",$G$2044,"|",G2046),
$BK$206:$BK$602,0),
MATCH(
$H$2010,
$BO$205:$FQ$205,0)
),0)</f>
        <v>5028555</v>
      </c>
      <c r="I2046" s="25">
        <f xml:space="preserve">
IFERROR(
INDEX($BO$206:$FQ$602,
MATCH(
_xlfn.CONCAT($B$2008,"|",$G$2044,"|",G2046),
$BK$206:$BK$602,0),
MATCH(
$I$2010,
$BO$205:$FQ$205,0)
),0)</f>
        <v>5314373</v>
      </c>
      <c r="J2046" s="33">
        <f>IFERROR(((H2046/I2046)-1)*100,0)</f>
        <v>-5.3782073633145462</v>
      </c>
    </row>
    <row r="2047" spans="2:10" ht="19" customHeight="1" x14ac:dyDescent="0.35">
      <c r="G2047" s="6" t="str">
        <f>BO437</f>
        <v>Ajustes de avaliação patrimonial</v>
      </c>
      <c r="H2047" s="25">
        <f xml:space="preserve">
IFERROR(
INDEX($BO$206:$FQ$602,
MATCH(
_xlfn.CONCAT($B$2008,"|",$G$2044,"|",G2047),
$BK$206:$BK$602,0),
MATCH(
$H$2010,
$BO$205:$FQ$205,0)
),0)</f>
        <v>92264</v>
      </c>
      <c r="I2047" s="25">
        <f xml:space="preserve">
IFERROR(
INDEX($BO$206:$FQ$602,
MATCH(
_xlfn.CONCAT($B$2008,"|",$G$2044,"|",G2047),
$BK$206:$BK$602,0),
MATCH(
$I$2010,
$BO$205:$FQ$205,0)
),0)</f>
        <v>104348</v>
      </c>
      <c r="J2047" s="33">
        <f t="shared" ref="J2047:J2049" si="172">IFERROR(((H2047/I2047)-1)*100,0)</f>
        <v>-11.580480699198837</v>
      </c>
    </row>
    <row r="2048" spans="2:10" ht="19" customHeight="1" x14ac:dyDescent="0.35">
      <c r="G2048" s="6" t="str">
        <f>BO438</f>
        <v>Adiantamento para futuro aumento de capital</v>
      </c>
      <c r="H2048" s="25">
        <f xml:space="preserve">
IFERROR(
INDEX($BO$206:$FQ$602,
MATCH(
_xlfn.CONCAT($B$2008,"|",$G$2044,"|",G2048),
$BK$206:$BK$602,0),
MATCH(
$H$2010,
$BO$205:$FQ$205,0)
),0)</f>
        <v>0</v>
      </c>
      <c r="I2048" s="25">
        <f xml:space="preserve">
IFERROR(
INDEX($BO$206:$FQ$602,
MATCH(
_xlfn.CONCAT($B$2008,"|",$G$2044,"|",G2048),
$BK$206:$BK$602,0),
MATCH(
$I$2010,
$BO$205:$FQ$205,0)
),0)</f>
        <v>0</v>
      </c>
      <c r="J2048" s="33">
        <f t="shared" si="172"/>
        <v>0</v>
      </c>
    </row>
    <row r="2049" spans="7:10" ht="19" customHeight="1" x14ac:dyDescent="0.35">
      <c r="G2049" s="6" t="str">
        <f>BO439</f>
        <v>Lucros acumulados</v>
      </c>
      <c r="H2049" s="25">
        <f xml:space="preserve">
IFERROR(
INDEX($BO$206:$FQ$602,
MATCH(
_xlfn.CONCAT($B$2008,"|",$G$2044,"|",G2049),
$BK$206:$BK$602,0),
MATCH(
$H$2010,
$BO$205:$FQ$205,0)
),0)</f>
        <v>196885</v>
      </c>
      <c r="I2049" s="25">
        <f xml:space="preserve">
IFERROR(
INDEX($BO$206:$FQ$602,
MATCH(
_xlfn.CONCAT($B$2008,"|",$G$2044,"|",G2049),
$BK$206:$BK$602,0),
MATCH(
$I$2010,
$BO$205:$FQ$205,0)
),0)</f>
        <v>0</v>
      </c>
      <c r="J2049" s="33">
        <f t="shared" si="172"/>
        <v>0</v>
      </c>
    </row>
    <row r="2050" spans="7:10" ht="28" customHeight="1" x14ac:dyDescent="0.35">
      <c r="G2050" s="39" t="s">
        <v>243</v>
      </c>
      <c r="H2050" s="80">
        <f>IFERROR(SUM(H2045:H2049),0)</f>
        <v>10791428</v>
      </c>
      <c r="I2050" s="80">
        <f>IFERROR(SUM(I2045:I2049),0)</f>
        <v>10892445</v>
      </c>
      <c r="J2050" s="139">
        <f>IFERROR(((H2050/I2050)-1)*100,0)</f>
        <v>-0.9274042696566287</v>
      </c>
    </row>
    <row r="2052" spans="7:10" ht="35.15" customHeight="1" x14ac:dyDescent="0.35">
      <c r="G2052" s="39" t="s">
        <v>244</v>
      </c>
      <c r="H2052" s="80">
        <f>IFERROR(SUM(H2050,H2036),0)</f>
        <v>20743703</v>
      </c>
      <c r="I2052" s="80">
        <f>IFERROR(SUM(I2050,I2036),0)</f>
        <v>19153008</v>
      </c>
      <c r="J2052" s="139">
        <f>IFERROR(((H2052/I2052)-1)*100,0)</f>
        <v>8.3051967607385748</v>
      </c>
    </row>
  </sheetData>
  <mergeCells count="10">
    <mergeCell ref="B4:J4"/>
    <mergeCell ref="I6:J6"/>
    <mergeCell ref="BO201:CO201"/>
    <mergeCell ref="B2006:J2006"/>
    <mergeCell ref="I2008:J2008"/>
    <mergeCell ref="BO203:CO203"/>
    <mergeCell ref="BO289:CO289"/>
    <mergeCell ref="BO369:CO369"/>
    <mergeCell ref="B1006:J1006"/>
    <mergeCell ref="I1008:J1008"/>
  </mergeCells>
  <phoneticPr fontId="12" type="noConversion"/>
  <dataValidations count="1">
    <dataValidation type="list" allowBlank="1" showInputMessage="1" showErrorMessage="1" sqref="I6 I2008 I1008" xr:uid="{180D4EBA-F239-4CF3-99CB-B2D9E1F69386}">
      <formula1>$BP$205:$FZ$205</formula1>
    </dataValidation>
  </dataValidations>
  <pageMargins left="0.511811024" right="0.511811024" top="0.78740157499999996" bottom="0.78740157499999996" header="0.31496062000000002" footer="0.31496062000000002"/>
  <ignoredErrors>
    <ignoredError sqref="BQ221:CO221 BP277:CO277 BR306:CO307 BR387:CO388 BO306:BO307 BS222:CO222 BQ222:BR222 BQ306:BQ307 BQ387:BQ388 BP221:BP222 BP306:BP307 BP387:BP388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BF05-9043-4A65-AFF9-983C6DE67987}">
  <sheetPr codeName="Planilha33">
    <tabColor rgb="FF17772E"/>
  </sheetPr>
  <dimension ref="B4:CR2089"/>
  <sheetViews>
    <sheetView showGridLines="0" workbookViewId="0"/>
  </sheetViews>
  <sheetFormatPr defaultColWidth="8.7265625" defaultRowHeight="19" customHeight="1" x14ac:dyDescent="0.35"/>
  <cols>
    <col min="1" max="1" width="2.54296875" style="1" customWidth="1"/>
    <col min="2" max="2" width="96.54296875" style="1" customWidth="1"/>
    <col min="3" max="4" width="20.7265625" style="1" customWidth="1"/>
    <col min="5" max="5" width="9" style="1" customWidth="1"/>
    <col min="6" max="63" width="8.7265625" style="1"/>
    <col min="64" max="64" width="10.54296875" style="1" customWidth="1"/>
    <col min="65" max="65" width="8.1796875" style="1" customWidth="1"/>
    <col min="66" max="66" width="23.26953125" style="1" hidden="1" customWidth="1"/>
    <col min="67" max="67" width="57.453125" style="1" customWidth="1"/>
    <col min="68" max="68" width="12.453125" style="1" customWidth="1"/>
    <col min="69" max="69" width="4.7265625" style="126" customWidth="1"/>
    <col min="70" max="70" width="96.54296875" style="1" customWidth="1"/>
    <col min="71" max="96" width="20.54296875" style="1" customWidth="1"/>
    <col min="97" max="16384" width="8.7265625" style="1"/>
  </cols>
  <sheetData>
    <row r="4" spans="2:5" ht="45" customHeight="1" x14ac:dyDescent="0.35">
      <c r="B4" s="110" t="s">
        <v>337</v>
      </c>
      <c r="C4" s="125"/>
      <c r="D4" s="116"/>
    </row>
    <row r="5" spans="2:5" ht="10" customHeight="1" x14ac:dyDescent="0.35">
      <c r="B5" s="111"/>
      <c r="C5" s="111"/>
      <c r="D5" s="115"/>
    </row>
    <row r="6" spans="2:5" ht="40" customHeight="1" x14ac:dyDescent="0.35">
      <c r="B6" s="112" t="s">
        <v>1</v>
      </c>
      <c r="C6" s="117"/>
      <c r="D6" s="114" t="s">
        <v>246</v>
      </c>
      <c r="E6" s="132" t="str">
        <f>_xlfn.CONCAT("Resultado acumulado até ",MID(D6,1,3),".")</f>
        <v>Resultado acumulado até jun.</v>
      </c>
    </row>
    <row r="7" spans="2:5" ht="15" customHeight="1" x14ac:dyDescent="0.35">
      <c r="B7" s="84"/>
      <c r="D7" s="15" t="s">
        <v>25</v>
      </c>
    </row>
    <row r="8" spans="2:5" ht="30" customHeight="1" x14ac:dyDescent="0.35">
      <c r="B8" s="211" t="s">
        <v>338</v>
      </c>
      <c r="C8" s="167" t="str">
        <f>IFERROR($D$6,"")</f>
        <v>jun | 2026</v>
      </c>
      <c r="D8" s="164" t="str">
        <f xml:space="preserve">
_xlfn.CONCAT(
MID($D$6,1,3),
" | ",
MID($D$6,7,4) - 1)</f>
        <v>jun | 2025</v>
      </c>
    </row>
    <row r="9" spans="2:5" ht="25" customHeight="1" x14ac:dyDescent="0.35">
      <c r="B9" s="127" t="str">
        <f>BR259</f>
        <v>LUCRO LÍQUIDO DO PERÍODO</v>
      </c>
      <c r="C9" s="46">
        <f xml:space="preserve">
IFERROR(
INDEX($BR$259:$DS$587,
MATCH(
_xlfn.CONCAT($B$6,"|",$B$8,"|",$B9),
$BN$259:$BN$587,0),
MATCH($C$8,$BR$258:$DS$258,0)),
0)</f>
        <v>1924423</v>
      </c>
      <c r="D9" s="46">
        <f xml:space="preserve">
IFERROR(
INDEX($BR$259:$DS$587,
MATCH(
_xlfn.CONCAT($B$6,"|",$B$8,"|",$B9),
$BN$259:$BN$587,0),
MATCH($D$8,$BR$258:$DS$258,0)),
0)</f>
        <v>2227021</v>
      </c>
    </row>
    <row r="10" spans="2:5" ht="20.149999999999999" customHeight="1" x14ac:dyDescent="0.35">
      <c r="B10" s="127"/>
      <c r="C10" s="46"/>
      <c r="D10" s="46"/>
    </row>
    <row r="11" spans="2:5" ht="25" customHeight="1" x14ac:dyDescent="0.35">
      <c r="B11" s="127" t="str">
        <f>BR261</f>
        <v>CONCILIAÇÃO DO LUCRO COM O CAIXA GERADO NAS OPERAÇÕES</v>
      </c>
      <c r="C11" s="46">
        <f>IFERROR(SUM(C12:C42,C9),0)</f>
        <v>2492989</v>
      </c>
      <c r="D11" s="46">
        <f>IFERROR(SUM(D12:D42,D9),0)</f>
        <v>2981064</v>
      </c>
    </row>
    <row r="12" spans="2:5" ht="20.149999999999999" customHeight="1" x14ac:dyDescent="0.35">
      <c r="B12" s="118" t="str">
        <f t="shared" ref="B12:B62" si="0">BR262</f>
        <v>Impostos de renda e contribuição social corrente e diferido</v>
      </c>
      <c r="C12" s="76">
        <f t="shared" ref="C12:C42" si="1" xml:space="preserve">
IFERROR(
INDEX($BR$259:$DS$587,
MATCH(
_xlfn.CONCAT($B$6,"|",$B$8,"|",$B$11,"|",$B12),
$BN$259:$BN$587,0),
MATCH($C$8,$BR$258:$DS$258,0)),
0)</f>
        <v>157849</v>
      </c>
      <c r="D12" s="32">
        <f t="shared" ref="D12:D42" si="2" xml:space="preserve">
IFERROR(
INDEX($BR$259:$DS$587,
MATCH(
_xlfn.CONCAT($B$6,"|",$B$8,"|",$B$11,"|",$B12),
$BN$259:$BN$587,0),
MATCH($D$8,$BR$258:$DS$258,0)),
0)</f>
        <v>364835</v>
      </c>
    </row>
    <row r="13" spans="2:5" ht="20.149999999999999" customHeight="1" x14ac:dyDescent="0.35">
      <c r="B13" s="118" t="str">
        <f t="shared" si="0"/>
        <v>Depreciação e amortização</v>
      </c>
      <c r="C13" s="76">
        <f t="shared" si="1"/>
        <v>811390</v>
      </c>
      <c r="D13" s="32">
        <f t="shared" si="2"/>
        <v>732240</v>
      </c>
    </row>
    <row r="14" spans="2:5" ht="20.149999999999999" customHeight="1" x14ac:dyDescent="0.35">
      <c r="B14" s="118" t="str">
        <f t="shared" si="0"/>
        <v>Baixa de valor residual líquido de ativos de contrato, ativos financeiros da concessão, imobilizado e intangível</v>
      </c>
      <c r="C14" s="76">
        <f t="shared" si="1"/>
        <v>72793</v>
      </c>
      <c r="D14" s="32">
        <f t="shared" si="2"/>
        <v>74799</v>
      </c>
    </row>
    <row r="15" spans="2:5" ht="20.149999999999999" customHeight="1" x14ac:dyDescent="0.35">
      <c r="B15" s="118" t="str">
        <f t="shared" si="0"/>
        <v>Ganho na alienação de imobilizados e intangíveis</v>
      </c>
      <c r="C15" s="76">
        <f t="shared" si="1"/>
        <v>0</v>
      </c>
      <c r="D15" s="32">
        <f t="shared" si="2"/>
        <v>0</v>
      </c>
    </row>
    <row r="16" spans="2:5" ht="20.149999999999999" customHeight="1" x14ac:dyDescent="0.35">
      <c r="B16" s="118" t="str">
        <f t="shared" si="0"/>
        <v>Reembolso de subsídios tarifários</v>
      </c>
      <c r="C16" s="76">
        <f t="shared" si="1"/>
        <v>-416130</v>
      </c>
      <c r="D16" s="32">
        <f t="shared" si="2"/>
        <v>-638368</v>
      </c>
    </row>
    <row r="17" spans="2:4" ht="20.149999999999999" customHeight="1" x14ac:dyDescent="0.35">
      <c r="B17" s="118" t="str">
        <f t="shared" si="0"/>
        <v>Remensuração da Rede Básica do Sistema Existente (RBSE)</v>
      </c>
      <c r="C17" s="76">
        <f t="shared" si="1"/>
        <v>0</v>
      </c>
      <c r="D17" s="32">
        <f t="shared" si="2"/>
        <v>219168</v>
      </c>
    </row>
    <row r="18" spans="2:4" ht="20.149999999999999" customHeight="1" x14ac:dyDescent="0.35">
      <c r="B18" s="118" t="str">
        <f t="shared" si="0"/>
        <v>Ajuste de valor justo de ativo financeiro</v>
      </c>
      <c r="C18" s="76">
        <f t="shared" si="1"/>
        <v>0</v>
      </c>
      <c r="D18" s="32">
        <f t="shared" si="2"/>
        <v>0</v>
      </c>
    </row>
    <row r="19" spans="2:4" ht="20.149999999999999" customHeight="1" x14ac:dyDescent="0.35">
      <c r="B19" s="118" t="str">
        <f t="shared" si="0"/>
        <v>Ajuste de ativos em curso</v>
      </c>
      <c r="C19" s="76">
        <f t="shared" si="1"/>
        <v>0</v>
      </c>
      <c r="D19" s="32">
        <f t="shared" si="2"/>
        <v>0</v>
      </c>
    </row>
    <row r="20" spans="2:4" ht="20.149999999999999" customHeight="1" x14ac:dyDescent="0.35">
      <c r="B20" s="118" t="str">
        <f t="shared" si="0"/>
        <v>Perda por redução ao valor recuperável</v>
      </c>
      <c r="C20" s="76">
        <f t="shared" si="1"/>
        <v>0</v>
      </c>
      <c r="D20" s="32">
        <f t="shared" si="2"/>
        <v>0</v>
      </c>
    </row>
    <row r="21" spans="2:4" ht="20.149999999999999" customHeight="1" x14ac:dyDescent="0.35">
      <c r="B21" s="118" t="str">
        <f t="shared" si="0"/>
        <v>Ganho por remensuração de participação anterior</v>
      </c>
      <c r="C21" s="76">
        <f t="shared" si="1"/>
        <v>0</v>
      </c>
      <c r="D21" s="32">
        <f t="shared" si="2"/>
        <v>0</v>
      </c>
    </row>
    <row r="22" spans="2:4" ht="20.149999999999999" customHeight="1" x14ac:dyDescent="0.35">
      <c r="B22" s="118" t="str">
        <f t="shared" si="0"/>
        <v>Ganho por compra vantajosa</v>
      </c>
      <c r="C22" s="76">
        <f t="shared" si="1"/>
        <v>0</v>
      </c>
      <c r="D22" s="32">
        <f t="shared" si="2"/>
        <v>0</v>
      </c>
    </row>
    <row r="23" spans="2:4" ht="20.149999999999999" customHeight="1" x14ac:dyDescent="0.35">
      <c r="B23" s="118" t="str">
        <f t="shared" si="0"/>
        <v>Ágio na recompra de eurobonds</v>
      </c>
      <c r="C23" s="76">
        <f t="shared" si="1"/>
        <v>0</v>
      </c>
      <c r="D23" s="32">
        <f t="shared" si="2"/>
        <v>0</v>
      </c>
    </row>
    <row r="24" spans="2:4" ht="20.149999999999999" customHeight="1" x14ac:dyDescent="0.35">
      <c r="B24" s="118" t="str">
        <f t="shared" si="0"/>
        <v>Resultado de equivalência patrimonial</v>
      </c>
      <c r="C24" s="76">
        <f t="shared" si="1"/>
        <v>-143708</v>
      </c>
      <c r="D24" s="32">
        <f t="shared" si="2"/>
        <v>-119537</v>
      </c>
    </row>
    <row r="25" spans="2:4" ht="20.149999999999999" customHeight="1" x14ac:dyDescent="0.35">
      <c r="B25" s="118" t="str">
        <f t="shared" si="0"/>
        <v>Ajuste na expectativa do fluxo de caixa dos ativos financeiros e de contrato da concessão</v>
      </c>
      <c r="C25" s="76">
        <f t="shared" si="1"/>
        <v>-806683</v>
      </c>
      <c r="D25" s="32">
        <f t="shared" si="2"/>
        <v>-652344</v>
      </c>
    </row>
    <row r="26" spans="2:4" ht="20.149999999999999" customHeight="1" x14ac:dyDescent="0.35">
      <c r="B26" s="118" t="str">
        <f t="shared" si="0"/>
        <v>Juros e variações monetárias</v>
      </c>
      <c r="C26" s="76">
        <f t="shared" si="1"/>
        <v>1306899</v>
      </c>
      <c r="D26" s="32">
        <f t="shared" si="2"/>
        <v>621508</v>
      </c>
    </row>
    <row r="27" spans="2:4" ht="20.149999999999999" customHeight="1" x14ac:dyDescent="0.35">
      <c r="B27" s="118" t="str">
        <f t="shared" si="0"/>
        <v>Variação cambial de empréstimos</v>
      </c>
      <c r="C27" s="76">
        <f t="shared" si="1"/>
        <v>-26584</v>
      </c>
      <c r="D27" s="32">
        <f t="shared" si="2"/>
        <v>0</v>
      </c>
    </row>
    <row r="28" spans="2:4" ht="20.149999999999999" customHeight="1" x14ac:dyDescent="0.35">
      <c r="B28" s="118" t="str">
        <f t="shared" si="0"/>
        <v>Restituição de créditos de PIS/Pasep e Cofins aos consumidores</v>
      </c>
      <c r="C28" s="76">
        <f t="shared" si="1"/>
        <v>0</v>
      </c>
      <c r="D28" s="32">
        <f t="shared" si="2"/>
        <v>-177892</v>
      </c>
    </row>
    <row r="29" spans="2:4" ht="20.149999999999999" customHeight="1" x14ac:dyDescent="0.35">
      <c r="B29" s="118" t="str">
        <f t="shared" si="0"/>
        <v>Reversão de valores a restituir a consumidores</v>
      </c>
      <c r="C29" s="76">
        <f t="shared" si="1"/>
        <v>0</v>
      </c>
      <c r="D29" s="32">
        <f t="shared" si="2"/>
        <v>0</v>
      </c>
    </row>
    <row r="30" spans="2:4" ht="20.149999999999999" customHeight="1" x14ac:dyDescent="0.35">
      <c r="B30" s="118" t="str">
        <f t="shared" si="0"/>
        <v>Ganho na alienação de investimentos</v>
      </c>
      <c r="C30" s="76">
        <f t="shared" si="1"/>
        <v>-26191</v>
      </c>
      <c r="D30" s="32">
        <f t="shared" si="2"/>
        <v>0</v>
      </c>
    </row>
    <row r="31" spans="2:4" ht="20.149999999999999" customHeight="1" x14ac:dyDescent="0.35">
      <c r="B31" s="118" t="str">
        <f t="shared" si="0"/>
        <v>Amortização de custos de transação de empréstimos</v>
      </c>
      <c r="C31" s="76">
        <f t="shared" si="1"/>
        <v>18987</v>
      </c>
      <c r="D31" s="32">
        <f t="shared" si="2"/>
        <v>12431</v>
      </c>
    </row>
    <row r="32" spans="2:4" ht="20.149999999999999" customHeight="1" x14ac:dyDescent="0.35">
      <c r="B32" s="118" t="str">
        <f t="shared" si="0"/>
        <v>Perdas de créditos esperadas</v>
      </c>
      <c r="C32" s="76">
        <f t="shared" si="1"/>
        <v>-93650</v>
      </c>
      <c r="D32" s="32">
        <f t="shared" si="2"/>
        <v>53726</v>
      </c>
    </row>
    <row r="33" spans="2:4" ht="20.149999999999999" customHeight="1" x14ac:dyDescent="0.35">
      <c r="B33" s="118" t="str">
        <f t="shared" si="0"/>
        <v>Variação do valor justo de instrumentos financeiros derivativos – swap</v>
      </c>
      <c r="C33" s="76">
        <f t="shared" si="1"/>
        <v>20333</v>
      </c>
      <c r="D33" s="32">
        <f t="shared" si="2"/>
        <v>0</v>
      </c>
    </row>
    <row r="34" spans="2:4" ht="20.149999999999999" customHeight="1" x14ac:dyDescent="0.35">
      <c r="B34" s="118" t="str">
        <f t="shared" si="0"/>
        <v>Conta de compensação de variação de valores de itens da “Parcela A” (CVA) e outros componentes financeiros</v>
      </c>
      <c r="C34" s="76">
        <f t="shared" si="1"/>
        <v>-583335</v>
      </c>
      <c r="D34" s="32">
        <f t="shared" si="2"/>
        <v>-196714</v>
      </c>
    </row>
    <row r="35" spans="2:4" ht="20.149999999999999" customHeight="1" x14ac:dyDescent="0.35">
      <c r="B35" s="118" t="str">
        <f t="shared" si="0"/>
        <v>Obrigações pós-emprego</v>
      </c>
      <c r="C35" s="76">
        <f t="shared" si="1"/>
        <v>100466</v>
      </c>
      <c r="D35" s="32">
        <f t="shared" si="2"/>
        <v>211729</v>
      </c>
    </row>
    <row r="36" spans="2:4" ht="20.149999999999999" customHeight="1" x14ac:dyDescent="0.35">
      <c r="B36" s="118" t="str">
        <f t="shared" si="0"/>
        <v>Perda por redução ao valor recuperável de ativos de contrato e intangível</v>
      </c>
      <c r="C36" s="76">
        <f t="shared" si="1"/>
        <v>0</v>
      </c>
      <c r="D36" s="32">
        <f t="shared" si="2"/>
        <v>0</v>
      </c>
    </row>
    <row r="37" spans="2:4" ht="20.149999999999999" customHeight="1" x14ac:dyDescent="0.35">
      <c r="B37" s="118" t="str">
        <f t="shared" si="0"/>
        <v>Ganhos com repactuação do risco hidrológico - Lei 14.052/20, líquido</v>
      </c>
      <c r="C37" s="76">
        <f t="shared" si="1"/>
        <v>0</v>
      </c>
      <c r="D37" s="32">
        <f t="shared" si="2"/>
        <v>0</v>
      </c>
    </row>
    <row r="38" spans="2:4" ht="20.149999999999999" customHeight="1" x14ac:dyDescent="0.35">
      <c r="B38" s="118" t="str">
        <f t="shared" si="0"/>
        <v>Redução ao valor recuperável de ativos mantidos para venda</v>
      </c>
      <c r="C38" s="76">
        <f t="shared" si="1"/>
        <v>0</v>
      </c>
      <c r="D38" s="32">
        <f t="shared" si="2"/>
        <v>0</v>
      </c>
    </row>
    <row r="39" spans="2:4" ht="20.149999999999999" customHeight="1" x14ac:dyDescent="0.35">
      <c r="B39" s="118" t="str">
        <f t="shared" si="0"/>
        <v>Efeitos da revisão tarifária periódica da RAP</v>
      </c>
      <c r="C39" s="76">
        <f t="shared" si="1"/>
        <v>0</v>
      </c>
      <c r="D39" s="32">
        <f t="shared" si="2"/>
        <v>0</v>
      </c>
    </row>
    <row r="40" spans="2:4" ht="20.149999999999999" customHeight="1" x14ac:dyDescent="0.35">
      <c r="B40" s="118" t="str">
        <f t="shared" si="0"/>
        <v>Ganho na alienação de ativo mantido para venda</v>
      </c>
      <c r="C40" s="76">
        <f t="shared" si="1"/>
        <v>0</v>
      </c>
      <c r="D40" s="32">
        <f t="shared" si="2"/>
        <v>0</v>
      </c>
    </row>
    <row r="41" spans="2:4" ht="20.149999999999999" customHeight="1" x14ac:dyDescent="0.35">
      <c r="B41" s="118" t="str">
        <f t="shared" si="0"/>
        <v>Provisões para contingências</v>
      </c>
      <c r="C41" s="76">
        <f t="shared" si="1"/>
        <v>243494</v>
      </c>
      <c r="D41" s="32">
        <f t="shared" si="2"/>
        <v>251690</v>
      </c>
    </row>
    <row r="42" spans="2:4" ht="20.149999999999999" customHeight="1" x14ac:dyDescent="0.35">
      <c r="B42" s="118" t="str">
        <f t="shared" si="0"/>
        <v>Outros</v>
      </c>
      <c r="C42" s="76">
        <f t="shared" si="1"/>
        <v>-67364</v>
      </c>
      <c r="D42" s="32">
        <f t="shared" si="2"/>
        <v>-3228</v>
      </c>
    </row>
    <row r="43" spans="2:4" ht="20.149999999999999" customHeight="1" x14ac:dyDescent="0.35">
      <c r="B43" s="118"/>
      <c r="C43" s="113"/>
      <c r="D43" s="32"/>
    </row>
    <row r="44" spans="2:4" ht="25" customHeight="1" x14ac:dyDescent="0.35">
      <c r="B44" s="128" t="str">
        <f t="shared" si="0"/>
        <v>(AUMENTO) REDUÇÃO DE ATIVOS</v>
      </c>
      <c r="C44" s="66">
        <f>IFERROR(SUM(C45:C52),0)</f>
        <v>791010</v>
      </c>
      <c r="D44" s="66">
        <f>IFERROR(SUM(D45:D52),0)</f>
        <v>100419</v>
      </c>
    </row>
    <row r="45" spans="2:4" ht="20.149999999999999" customHeight="1" x14ac:dyDescent="0.35">
      <c r="B45" s="120" t="str">
        <f t="shared" si="0"/>
        <v>Consumidores, revendedores e concessionários de energia</v>
      </c>
      <c r="C45" s="30">
        <f t="shared" ref="C45:C52" si="3" xml:space="preserve">
IFERROR(
INDEX($BR$259:$DS$587,
MATCH(
_xlfn.CONCAT($B$6,"|",$B$8,"|",$B$44,"|",$B45),
$BN$259:$BN$587,0),
MATCH($C$8,$BR$258:$DS$258,0)),
0)</f>
        <v>-149574</v>
      </c>
      <c r="D45" s="32">
        <f t="shared" ref="D45:D52" si="4" xml:space="preserve">
IFERROR(
INDEX($BR$259:$DS$587,
MATCH(
_xlfn.CONCAT($B$6,"|",$B$8,"|",$B$44,"|",$B45),
$BN$259:$BN$587,0),
MATCH($D$8,$BR$258:$DS$258,0)),
0)</f>
        <v>-132092</v>
      </c>
    </row>
    <row r="46" spans="2:4" ht="20.149999999999999" customHeight="1" x14ac:dyDescent="0.35">
      <c r="B46" s="120" t="str">
        <f t="shared" si="0"/>
        <v>Reembolso de subsídios tarifários</v>
      </c>
      <c r="C46" s="30">
        <f t="shared" si="3"/>
        <v>462497</v>
      </c>
      <c r="D46" s="32">
        <f t="shared" si="4"/>
        <v>207966</v>
      </c>
    </row>
    <row r="47" spans="2:4" ht="20.149999999999999" customHeight="1" x14ac:dyDescent="0.35">
      <c r="B47" s="120" t="str">
        <f t="shared" si="0"/>
        <v>Conta de compensação de variação de valores de itens da "Parcela A" (CVA) e outros componentes financeiros</v>
      </c>
      <c r="C47" s="30">
        <f t="shared" si="3"/>
        <v>0</v>
      </c>
      <c r="D47" s="32">
        <f t="shared" si="4"/>
        <v>0</v>
      </c>
    </row>
    <row r="48" spans="2:4" ht="20.149999999999999" customHeight="1" x14ac:dyDescent="0.35">
      <c r="B48" s="120" t="str">
        <f t="shared" si="0"/>
        <v>Tributos a recuperar</v>
      </c>
      <c r="C48" s="30">
        <f t="shared" si="3"/>
        <v>-137306</v>
      </c>
      <c r="D48" s="32">
        <f t="shared" si="4"/>
        <v>-94752</v>
      </c>
    </row>
    <row r="49" spans="2:4" ht="20.149999999999999" customHeight="1" x14ac:dyDescent="0.35">
      <c r="B49" s="120" t="str">
        <f t="shared" si="0"/>
        <v>Imposto de renda e contribuição social a recuperar</v>
      </c>
      <c r="C49" s="30">
        <f t="shared" si="3"/>
        <v>-6067</v>
      </c>
      <c r="D49" s="32">
        <f t="shared" si="4"/>
        <v>-116646</v>
      </c>
    </row>
    <row r="50" spans="2:4" ht="20.149999999999999" customHeight="1" x14ac:dyDescent="0.35">
      <c r="B50" s="120" t="str">
        <f t="shared" si="0"/>
        <v>Depósitos vinculados a litígios</v>
      </c>
      <c r="C50" s="30">
        <f t="shared" si="3"/>
        <v>235142</v>
      </c>
      <c r="D50" s="32">
        <f t="shared" si="4"/>
        <v>30157</v>
      </c>
    </row>
    <row r="51" spans="2:4" ht="20.149999999999999" customHeight="1" x14ac:dyDescent="0.35">
      <c r="B51" s="120" t="str">
        <f t="shared" si="0"/>
        <v>Ativos de contrato e financeiros da concessão</v>
      </c>
      <c r="C51" s="30">
        <f t="shared" si="3"/>
        <v>339672</v>
      </c>
      <c r="D51" s="32">
        <f t="shared" si="4"/>
        <v>396981</v>
      </c>
    </row>
    <row r="52" spans="2:4" ht="20.149999999999999" customHeight="1" x14ac:dyDescent="0.35">
      <c r="B52" s="120" t="str">
        <f t="shared" si="0"/>
        <v>Outros</v>
      </c>
      <c r="C52" s="30">
        <f t="shared" si="3"/>
        <v>46646</v>
      </c>
      <c r="D52" s="32">
        <f t="shared" si="4"/>
        <v>-191195</v>
      </c>
    </row>
    <row r="53" spans="2:4" ht="20.149999999999999" customHeight="1" x14ac:dyDescent="0.35">
      <c r="B53" s="120"/>
      <c r="C53" s="32"/>
      <c r="D53" s="32"/>
    </row>
    <row r="54" spans="2:4" ht="25" customHeight="1" x14ac:dyDescent="0.35">
      <c r="B54" s="119" t="str">
        <f t="shared" si="0"/>
        <v>AUMENTO (REDUÇÃO) DE PASSIVOS</v>
      </c>
      <c r="C54" s="52">
        <f>IFERROR(SUM(C55:C63),0)</f>
        <v>-891004</v>
      </c>
      <c r="D54" s="52">
        <f>IFERROR(SUM(D55:D63),0)</f>
        <v>-40557</v>
      </c>
    </row>
    <row r="55" spans="2:4" ht="20.149999999999999" customHeight="1" x14ac:dyDescent="0.35">
      <c r="B55" s="120" t="str">
        <f t="shared" si="0"/>
        <v>Fornecedores</v>
      </c>
      <c r="C55" s="30">
        <f t="shared" ref="C55:C63" si="5" xml:space="preserve">
IFERROR(
INDEX($BR$259:$DS$587,
MATCH(
_xlfn.CONCAT($B$6,"|",$B$8,"|",$B$54,"|",$B55),
$BN$259:$BN$587,0),
MATCH($C$8,$BR$258:$DS$258,0)),
0)</f>
        <v>104896</v>
      </c>
      <c r="D55" s="32">
        <f t="shared" ref="D55:D63" si="6" xml:space="preserve">
IFERROR(
INDEX($BR$259:$DS$587,
MATCH(
_xlfn.CONCAT($B$6,"|",$B$8,"|",$B$54,"|",$B55),
$BN$259:$BN$587,0),
MATCH($D$8,$BR$258:$DS$258,0)),
0)</f>
        <v>128739</v>
      </c>
    </row>
    <row r="56" spans="2:4" ht="20.149999999999999" customHeight="1" x14ac:dyDescent="0.35">
      <c r="B56" s="120" t="str">
        <f t="shared" si="0"/>
        <v>Impostos, taxas e contribuições</v>
      </c>
      <c r="C56" s="30">
        <f t="shared" si="5"/>
        <v>-123857</v>
      </c>
      <c r="D56" s="32">
        <f t="shared" si="6"/>
        <v>-82603</v>
      </c>
    </row>
    <row r="57" spans="2:4" ht="20.149999999999999" customHeight="1" x14ac:dyDescent="0.35">
      <c r="B57" s="120" t="str">
        <f t="shared" si="0"/>
        <v>Imposto de renda e contribuição social a pagar</v>
      </c>
      <c r="C57" s="30">
        <f t="shared" si="5"/>
        <v>0</v>
      </c>
      <c r="D57" s="32">
        <f t="shared" si="6"/>
        <v>0</v>
      </c>
    </row>
    <row r="58" spans="2:4" ht="20.149999999999999" customHeight="1" x14ac:dyDescent="0.35">
      <c r="B58" s="120" t="str">
        <f t="shared" si="0"/>
        <v>Salários e contribuições sociais</v>
      </c>
      <c r="C58" s="30">
        <f t="shared" si="5"/>
        <v>52510</v>
      </c>
      <c r="D58" s="32">
        <f t="shared" si="6"/>
        <v>38387</v>
      </c>
    </row>
    <row r="59" spans="2:4" ht="20.149999999999999" customHeight="1" x14ac:dyDescent="0.35">
      <c r="B59" s="120" t="str">
        <f t="shared" si="0"/>
        <v>Encargos regulatórios</v>
      </c>
      <c r="C59" s="30">
        <f t="shared" si="5"/>
        <v>-3429</v>
      </c>
      <c r="D59" s="32">
        <f t="shared" si="6"/>
        <v>75614</v>
      </c>
    </row>
    <row r="60" spans="2:4" ht="20.149999999999999" customHeight="1" x14ac:dyDescent="0.35">
      <c r="B60" s="120" t="str">
        <f t="shared" si="0"/>
        <v>Contribuições pagas de benefícios pós-emprego</v>
      </c>
      <c r="C60" s="30">
        <f t="shared" si="5"/>
        <v>-504104</v>
      </c>
      <c r="D60" s="32">
        <f t="shared" si="6"/>
        <v>-170043</v>
      </c>
    </row>
    <row r="61" spans="2:4" ht="20.149999999999999" customHeight="1" x14ac:dyDescent="0.35">
      <c r="B61" s="120" t="str">
        <f t="shared" si="0"/>
        <v>Contas a pagar relacionadas a energia gerada por consumidores</v>
      </c>
      <c r="C61" s="30">
        <f t="shared" si="5"/>
        <v>-50883</v>
      </c>
      <c r="D61" s="32">
        <f t="shared" si="6"/>
        <v>239640</v>
      </c>
    </row>
    <row r="62" spans="2:4" ht="20.149999999999999" customHeight="1" x14ac:dyDescent="0.35">
      <c r="B62" s="120" t="str">
        <f t="shared" si="0"/>
        <v>PIS/Pasep e Cofins a ser restituído a consumidores</v>
      </c>
      <c r="C62" s="30">
        <f t="shared" si="5"/>
        <v>0</v>
      </c>
      <c r="D62" s="32">
        <f t="shared" si="6"/>
        <v>0</v>
      </c>
    </row>
    <row r="63" spans="2:4" ht="20.149999999999999" customHeight="1" x14ac:dyDescent="0.35">
      <c r="B63" s="456" t="str">
        <f>BR313</f>
        <v>Outros</v>
      </c>
      <c r="C63" s="445">
        <f t="shared" si="5"/>
        <v>-366137</v>
      </c>
      <c r="D63" s="444">
        <f t="shared" si="6"/>
        <v>-270291</v>
      </c>
    </row>
    <row r="64" spans="2:4" ht="20.149999999999999" customHeight="1" x14ac:dyDescent="0.35">
      <c r="B64" s="120"/>
      <c r="C64" s="30"/>
      <c r="D64" s="32"/>
    </row>
    <row r="65" spans="2:4" ht="25" customHeight="1" x14ac:dyDescent="0.35">
      <c r="B65" s="119" t="str">
        <f>BR315</f>
        <v>CAIXA GERADO PELAS ATIVIDADES OPERACIONAIS</v>
      </c>
      <c r="C65" s="52">
        <f>IFERROR(SUM(C54,C44,C11),0)</f>
        <v>2392995</v>
      </c>
      <c r="D65" s="52">
        <f>IFERROR(SUM(D54,D44,D11),0)</f>
        <v>3040926</v>
      </c>
    </row>
    <row r="66" spans="2:4" ht="20.149999999999999" customHeight="1" x14ac:dyDescent="0.35">
      <c r="B66" s="130"/>
      <c r="C66" s="32"/>
      <c r="D66" s="32"/>
    </row>
    <row r="67" spans="2:4" ht="20.149999999999999" customHeight="1" x14ac:dyDescent="0.35">
      <c r="B67" s="120" t="str">
        <f t="shared" ref="B67:B72" si="7">BR317</f>
        <v>Juros recebidos</v>
      </c>
      <c r="C67" s="32">
        <f t="shared" ref="C67:C72" si="8" xml:space="preserve">
IFERROR(
INDEX($BR$259:$DS$587,
MATCH(
_xlfn.CONCAT($B$6,"|",$B$8,"|",$B67),
$BN$259:$BN$587,0),
MATCH($C$8,$BR$258:$DS$258,0)),
0)</f>
        <v>253388</v>
      </c>
      <c r="D67" s="32">
        <f t="shared" ref="D67:D72" si="9" xml:space="preserve">
IFERROR(
INDEX($BR$259:$DS$587,
MATCH(
_xlfn.CONCAT($B$6,"|",$B$8,"|",$B67),
$BN$259:$BN$587,0),
MATCH($D$8,$BR$258:$DS$258,0)),
0)</f>
        <v>187607</v>
      </c>
    </row>
    <row r="68" spans="2:4" ht="20.149999999999999" customHeight="1" x14ac:dyDescent="0.35">
      <c r="B68" s="120" t="str">
        <f t="shared" si="7"/>
        <v>Dividendos e JCP recebidos</v>
      </c>
      <c r="C68" s="32">
        <f t="shared" si="8"/>
        <v>144716</v>
      </c>
      <c r="D68" s="32">
        <f t="shared" si="9"/>
        <v>107723</v>
      </c>
    </row>
    <row r="69" spans="2:4" ht="20.149999999999999" customHeight="1" x14ac:dyDescent="0.35">
      <c r="B69" s="120" t="str">
        <f t="shared" si="7"/>
        <v>Juros sobre debêntures pagos</v>
      </c>
      <c r="C69" s="32">
        <f t="shared" si="8"/>
        <v>-914496</v>
      </c>
      <c r="D69" s="32">
        <f t="shared" si="9"/>
        <v>-526396</v>
      </c>
    </row>
    <row r="70" spans="2:4" ht="20.149999999999999" customHeight="1" x14ac:dyDescent="0.35">
      <c r="B70" s="120" t="str">
        <f t="shared" si="7"/>
        <v>Juros sobre arrendamentos pagos</v>
      </c>
      <c r="C70" s="32">
        <f t="shared" si="8"/>
        <v>-12386</v>
      </c>
      <c r="D70" s="32">
        <f t="shared" si="9"/>
        <v>-2914</v>
      </c>
    </row>
    <row r="71" spans="2:4" ht="20.149999999999999" customHeight="1" x14ac:dyDescent="0.35">
      <c r="B71" s="120" t="str">
        <f t="shared" si="7"/>
        <v>Imposto de renda e contribuição social pagos</v>
      </c>
      <c r="C71" s="32">
        <f t="shared" si="8"/>
        <v>-190056</v>
      </c>
      <c r="D71" s="32">
        <f t="shared" si="9"/>
        <v>-460775</v>
      </c>
    </row>
    <row r="72" spans="2:4" ht="20.149999999999999" customHeight="1" x14ac:dyDescent="0.35">
      <c r="B72" s="120" t="str">
        <f t="shared" si="7"/>
        <v>Liquidação de instrumentos financeiros derivativos</v>
      </c>
      <c r="C72" s="32">
        <f t="shared" si="8"/>
        <v>0</v>
      </c>
      <c r="D72" s="32">
        <f t="shared" si="9"/>
        <v>0</v>
      </c>
    </row>
    <row r="73" spans="2:4" ht="20.149999999999999" customHeight="1" x14ac:dyDescent="0.35">
      <c r="B73" s="129"/>
      <c r="C73" s="50"/>
      <c r="D73" s="50"/>
    </row>
    <row r="74" spans="2:4" ht="25" customHeight="1" x14ac:dyDescent="0.35">
      <c r="B74" s="119" t="str">
        <f t="shared" ref="B74" si="10">BR324</f>
        <v>CAIXA LÍQUIDO GERADO PELAS ATIVIDADES OPERACIONAIS</v>
      </c>
      <c r="C74" s="78">
        <f>IFERROR(SUM(C65,C67:C72),0)</f>
        <v>1674161</v>
      </c>
      <c r="D74" s="78">
        <f>IFERROR(SUM(D65,D67:D72),0)</f>
        <v>2346171</v>
      </c>
    </row>
    <row r="75" spans="2:4" ht="20.149999999999999" customHeight="1" x14ac:dyDescent="0.35">
      <c r="B75" s="121"/>
      <c r="C75" s="67"/>
      <c r="D75" s="67"/>
    </row>
    <row r="76" spans="2:4" ht="30" customHeight="1" x14ac:dyDescent="0.35">
      <c r="B76" s="211" t="s">
        <v>339</v>
      </c>
      <c r="C76" s="167"/>
      <c r="D76" s="167"/>
    </row>
    <row r="77" spans="2:4" ht="20.149999999999999" customHeight="1" x14ac:dyDescent="0.35">
      <c r="B77" s="120" t="str">
        <f>BR327</f>
        <v>Aplicações em títulos e valores mobiliários</v>
      </c>
      <c r="C77" s="459">
        <f t="shared" ref="C77:C91" si="11" xml:space="preserve">
IFERROR(
INDEX($BR$259:$DS$587,
MATCH(
_xlfn.CONCAT($B$6,"|",$B$76,"|",$B77),
$BN$259:$BN$587,0),
MATCH($C$8,$BR$258:$DS$258,0)),
0)</f>
        <v>-6764594</v>
      </c>
      <c r="D77" s="50">
        <f t="shared" ref="D77:D91" si="12" xml:space="preserve">
IFERROR(
INDEX($BR$259:$DS$587,
MATCH(
_xlfn.CONCAT($B$6,"|",$B$76,"|",$B77),
$BN$259:$BN$587,0),
MATCH($D$8,$BR$258:$DS$258,0)),
0)</f>
        <v>-10155781</v>
      </c>
    </row>
    <row r="78" spans="2:4" ht="20.149999999999999" customHeight="1" x14ac:dyDescent="0.35">
      <c r="B78" s="120" t="str">
        <f t="shared" ref="B78:B90" si="13">BR328</f>
        <v>Resgates de títulos e valores mobiliários</v>
      </c>
      <c r="C78" s="459">
        <f t="shared" si="11"/>
        <v>6601353</v>
      </c>
      <c r="D78" s="50">
        <f t="shared" si="12"/>
        <v>9409775</v>
      </c>
    </row>
    <row r="79" spans="2:4" ht="20.149999999999999" customHeight="1" x14ac:dyDescent="0.35">
      <c r="B79" s="120" t="str">
        <f t="shared" si="13"/>
        <v>Aplicações em fundos vinculados</v>
      </c>
      <c r="C79" s="459">
        <f t="shared" si="11"/>
        <v>-912303</v>
      </c>
      <c r="D79" s="50">
        <f t="shared" si="12"/>
        <v>-1318152</v>
      </c>
    </row>
    <row r="80" spans="2:4" ht="20.149999999999999" customHeight="1" x14ac:dyDescent="0.35">
      <c r="B80" s="120" t="str">
        <f t="shared" si="13"/>
        <v>Resgates de fundos vinculados</v>
      </c>
      <c r="C80" s="459">
        <f t="shared" si="11"/>
        <v>1047607</v>
      </c>
      <c r="D80" s="50">
        <f t="shared" si="12"/>
        <v>1508252</v>
      </c>
    </row>
    <row r="81" spans="2:4" ht="20.149999999999999" customHeight="1" x14ac:dyDescent="0.35">
      <c r="B81" s="120" t="str">
        <f t="shared" si="13"/>
        <v>Aporte em investidas</v>
      </c>
      <c r="C81" s="459">
        <f t="shared" si="11"/>
        <v>-4260</v>
      </c>
      <c r="D81" s="50">
        <f t="shared" si="12"/>
        <v>-593</v>
      </c>
    </row>
    <row r="82" spans="2:4" ht="20.149999999999999" customHeight="1" x14ac:dyDescent="0.35">
      <c r="B82" s="120" t="str">
        <f t="shared" si="13"/>
        <v>Alienação de investimentos</v>
      </c>
      <c r="C82" s="459">
        <f t="shared" si="11"/>
        <v>26191</v>
      </c>
      <c r="D82" s="50">
        <f t="shared" si="12"/>
        <v>0</v>
      </c>
    </row>
    <row r="83" spans="2:4" ht="20.149999999999999" customHeight="1" x14ac:dyDescent="0.35">
      <c r="B83" s="120" t="str">
        <f t="shared" si="13"/>
        <v>Alienação de ativos intangíveis</v>
      </c>
      <c r="C83" s="459">
        <f t="shared" si="11"/>
        <v>0</v>
      </c>
      <c r="D83" s="50">
        <f t="shared" si="12"/>
        <v>0</v>
      </c>
    </row>
    <row r="84" spans="2:4" ht="20.149999999999999" customHeight="1" x14ac:dyDescent="0.35">
      <c r="B84" s="120" t="str">
        <f t="shared" si="13"/>
        <v>Redução de capital social em investida</v>
      </c>
      <c r="C84" s="459">
        <f t="shared" si="11"/>
        <v>0</v>
      </c>
      <c r="D84" s="50">
        <f t="shared" si="12"/>
        <v>0</v>
      </c>
    </row>
    <row r="85" spans="2:4" ht="20.149999999999999" customHeight="1" x14ac:dyDescent="0.35">
      <c r="B85" s="120" t="str">
        <f t="shared" si="13"/>
        <v>Liquidação opção de venda</v>
      </c>
      <c r="C85" s="459">
        <f t="shared" si="11"/>
        <v>0</v>
      </c>
      <c r="D85" s="50">
        <f t="shared" si="12"/>
        <v>0</v>
      </c>
    </row>
    <row r="86" spans="2:4" ht="20.149999999999999" customHeight="1" x14ac:dyDescent="0.35">
      <c r="B86" s="120" t="str">
        <f t="shared" si="13"/>
        <v>Caixa oriundo de combinação de negócios</v>
      </c>
      <c r="C86" s="459">
        <f t="shared" si="11"/>
        <v>0</v>
      </c>
      <c r="D86" s="50">
        <f t="shared" si="12"/>
        <v>0</v>
      </c>
    </row>
    <row r="87" spans="2:4" ht="20.149999999999999" customHeight="1" x14ac:dyDescent="0.35">
      <c r="B87" s="120" t="str">
        <f t="shared" si="13"/>
        <v>Mútuo com partes relacionadas</v>
      </c>
      <c r="C87" s="50">
        <f t="shared" si="11"/>
        <v>0</v>
      </c>
      <c r="D87" s="50">
        <f t="shared" si="12"/>
        <v>0</v>
      </c>
    </row>
    <row r="88" spans="2:4" ht="20.149999999999999" customHeight="1" x14ac:dyDescent="0.35">
      <c r="B88" s="120" t="str">
        <f t="shared" si="13"/>
        <v>Adição em imobilizado</v>
      </c>
      <c r="C88" s="50">
        <f t="shared" si="11"/>
        <v>-82075</v>
      </c>
      <c r="D88" s="50">
        <f t="shared" si="12"/>
        <v>-307229</v>
      </c>
    </row>
    <row r="89" spans="2:4" ht="20.149999999999999" customHeight="1" x14ac:dyDescent="0.35">
      <c r="B89" s="120" t="str">
        <f t="shared" si="13"/>
        <v>Adição em intangível</v>
      </c>
      <c r="C89" s="50">
        <f t="shared" si="11"/>
        <v>-64157</v>
      </c>
      <c r="D89" s="50">
        <f t="shared" si="12"/>
        <v>-70505</v>
      </c>
    </row>
    <row r="90" spans="2:4" ht="20.149999999999999" customHeight="1" x14ac:dyDescent="0.35">
      <c r="B90" s="120" t="str">
        <f t="shared" si="13"/>
        <v>Adição em ativos de contrato – Infraestrutura de distribuição e gás</v>
      </c>
      <c r="C90" s="50">
        <f t="shared" si="11"/>
        <v>-2808218</v>
      </c>
      <c r="D90" s="50">
        <f t="shared" si="12"/>
        <v>-2332673</v>
      </c>
    </row>
    <row r="91" spans="2:4" ht="20.149999999999999" customHeight="1" x14ac:dyDescent="0.35">
      <c r="B91" s="120" t="str">
        <f>BR341</f>
        <v>Aquisição de controladas, líquida de caixa</v>
      </c>
      <c r="C91" s="50">
        <f t="shared" si="11"/>
        <v>-189642</v>
      </c>
      <c r="D91" s="50">
        <f t="shared" si="12"/>
        <v>0</v>
      </c>
    </row>
    <row r="92" spans="2:4" ht="20.149999999999999" customHeight="1" x14ac:dyDescent="0.35">
      <c r="B92" s="460"/>
      <c r="C92" s="50"/>
      <c r="D92" s="50"/>
    </row>
    <row r="93" spans="2:4" ht="25" customHeight="1" x14ac:dyDescent="0.35">
      <c r="B93" s="119" t="str">
        <f>BR343</f>
        <v>CAIXA LÍQUIDO CONSUMIDO PELAS ATIVIDADES DE INVESTIMENTO</v>
      </c>
      <c r="C93" s="78">
        <f>IFERROR(SUM(C77:C91),0)</f>
        <v>-3150098</v>
      </c>
      <c r="D93" s="78">
        <f>IFERROR(SUM(D77:D91),0)</f>
        <v>-3266906</v>
      </c>
    </row>
    <row r="94" spans="2:4" ht="20.149999999999999" customHeight="1" x14ac:dyDescent="0.35">
      <c r="B94" s="120"/>
      <c r="C94" s="50"/>
      <c r="D94" s="50"/>
    </row>
    <row r="95" spans="2:4" ht="30" customHeight="1" x14ac:dyDescent="0.35">
      <c r="B95" s="211" t="s">
        <v>340</v>
      </c>
      <c r="C95" s="167"/>
      <c r="D95" s="167"/>
    </row>
    <row r="96" spans="2:4" ht="20.149999999999999" customHeight="1" x14ac:dyDescent="0.35">
      <c r="B96" s="120" t="str">
        <f>BR346</f>
        <v>Antecipação de CDE</v>
      </c>
      <c r="C96" s="50">
        <f xml:space="preserve">
IFERROR(
INDEX($BR$259:$DS$587,
MATCH(
_xlfn.CONCAT($B$6,"|",$B$95,"|",$B96),
$BN$259:$BN$587,0),
MATCH($C$8,$BR$258:$DS$258,0)),
0)</f>
        <v>709761</v>
      </c>
      <c r="D96" s="50">
        <f xml:space="preserve">
IFERROR(
INDEX($BR$259:$DS$587,
MATCH(
_xlfn.CONCAT($B$6,"|",$B$95,"|",$B96),
$BN$259:$BN$587,0),
MATCH($D$8,$BR$258:$DS$258,0)),
0)</f>
        <v>0</v>
      </c>
    </row>
    <row r="97" spans="2:4" ht="20.149999999999999" customHeight="1" x14ac:dyDescent="0.35">
      <c r="B97" s="120" t="str">
        <f>BR347</f>
        <v>Captação de debêntures, líquidas</v>
      </c>
      <c r="C97" s="50">
        <f xml:space="preserve">
IFERROR(
INDEX($BR$259:$DS$587,
MATCH(
_xlfn.CONCAT($B$6,"|",$B$95,"|",$B97),
$BN$259:$BN$587,0),
MATCH($C$8,$BR$258:$DS$258,0)),
0)</f>
        <v>4575156</v>
      </c>
      <c r="D97" s="50">
        <f xml:space="preserve">
IFERROR(
INDEX($BR$259:$DS$587,
MATCH(
_xlfn.CONCAT($B$6,"|",$B$95,"|",$B97),
$BN$259:$BN$587,0),
MATCH($D$8,$BR$258:$DS$258,0)),
0)</f>
        <v>4965036</v>
      </c>
    </row>
    <row r="98" spans="2:4" ht="20.149999999999999" customHeight="1" x14ac:dyDescent="0.35">
      <c r="B98" s="120" t="str">
        <f t="shared" ref="B98:B102" si="14">BR348</f>
        <v>Juros sobre capital próprio e dividendos pagos</v>
      </c>
      <c r="C98" s="50">
        <f xml:space="preserve">
IFERROR(
INDEX($BR$259:$DS$587,
MATCH(
_xlfn.CONCAT($B$6,"|",$B$95,"|",$B98),
$BN$259:$BN$587,0),
MATCH($C$8,$BR$258:$DS$258,0)),
0)</f>
        <v>-1415670</v>
      </c>
      <c r="D98" s="50">
        <f xml:space="preserve">
IFERROR(
INDEX($BR$259:$DS$587,
MATCH(
_xlfn.CONCAT($B$6,"|",$B$95,"|",$B98),
$BN$259:$BN$587,0),
MATCH($D$8,$BR$258:$DS$258,0)),
0)</f>
        <v>-1775716</v>
      </c>
    </row>
    <row r="99" spans="2:4" ht="20.149999999999999" customHeight="1" x14ac:dyDescent="0.35">
      <c r="B99" s="120" t="str">
        <f t="shared" si="14"/>
        <v>Pagamentos de debêntures</v>
      </c>
      <c r="C99" s="50">
        <f xml:space="preserve">
IFERROR(
INDEX($BR$259:$DS$587,
MATCH(
_xlfn.CONCAT($B$6,"|",$B$95,"|",$B99),
$BN$259:$BN$587,0),
MATCH($C$8,$BR$258:$DS$258,0)),
0)</f>
        <v>-2098565</v>
      </c>
      <c r="D99" s="50">
        <f xml:space="preserve">
IFERROR(
INDEX($BR$259:$DS$587,
MATCH(
_xlfn.CONCAT($B$6,"|",$B$95,"|",$B99),
$BN$259:$BN$587,0),
MATCH($D$8,$BR$258:$DS$258,0)),
0)</f>
        <v>-2368868</v>
      </c>
    </row>
    <row r="100" spans="2:4" ht="20.149999999999999" customHeight="1" x14ac:dyDescent="0.35">
      <c r="B100" s="120" t="str">
        <f t="shared" si="14"/>
        <v>Arrendamentos pagos</v>
      </c>
      <c r="C100" s="50">
        <f xml:space="preserve">
IFERROR(
INDEX($BR$259:$DS$587,
MATCH(
_xlfn.CONCAT($B$6,"|",$B$95,"|",$B100),
$BN$259:$BN$587,0),
MATCH($C$8,$BR$258:$DS$258,0)),
0)</f>
        <v>-33985</v>
      </c>
      <c r="D100" s="50">
        <f xml:space="preserve">
IFERROR(
INDEX($BR$259:$DS$587,
MATCH(
_xlfn.CONCAT($B$6,"|",$B$95,"|",$B100),
$BN$259:$BN$587,0),
MATCH($D$8,$BR$258:$DS$258,0)),
0)</f>
        <v>-40154</v>
      </c>
    </row>
    <row r="101" spans="2:4" ht="20.149999999999999" customHeight="1" x14ac:dyDescent="0.35">
      <c r="B101" s="131"/>
      <c r="C101" s="57"/>
      <c r="D101" s="57"/>
    </row>
    <row r="102" spans="2:4" ht="25" customHeight="1" x14ac:dyDescent="0.35">
      <c r="B102" s="122" t="str">
        <f t="shared" si="14"/>
        <v>CAIXA LÍQUIDO GERADO (CONSUMIDO) PELAS ATIVIDADES DE FINANCIAMENTO</v>
      </c>
      <c r="C102" s="477">
        <f>IFERROR(SUM(C96:C100),0)</f>
        <v>1736697</v>
      </c>
      <c r="D102" s="477">
        <f>IFERROR(SUM(D96:D100),0)</f>
        <v>780298</v>
      </c>
    </row>
    <row r="103" spans="2:4" ht="20.149999999999999" customHeight="1" x14ac:dyDescent="0.35">
      <c r="B103" s="122"/>
      <c r="C103" s="69"/>
      <c r="D103" s="69"/>
    </row>
    <row r="104" spans="2:4" ht="30" customHeight="1" x14ac:dyDescent="0.35">
      <c r="B104" s="211" t="s">
        <v>341</v>
      </c>
      <c r="C104" s="167">
        <f>IFERROR(SUM(C102,C93,C74),0)</f>
        <v>260760</v>
      </c>
      <c r="D104" s="167">
        <f>IFERROR(SUM(D102,D93,D74),0)</f>
        <v>-140437</v>
      </c>
    </row>
    <row r="105" spans="2:4" ht="20.149999999999999" customHeight="1" x14ac:dyDescent="0.35">
      <c r="B105" s="123"/>
      <c r="C105" s="50"/>
      <c r="D105" s="50"/>
    </row>
    <row r="106" spans="2:4" ht="20.149999999999999" customHeight="1" x14ac:dyDescent="0.35">
      <c r="B106" s="120" t="str">
        <f>BR356</f>
        <v>Caixa e equivalentes de caixa no início do período</v>
      </c>
      <c r="C106" s="50">
        <f xml:space="preserve">
IFERROR(
INDEX($BR$259:$DS$587,
MATCH(
_xlfn.CONCAT($B$6,"|",$B106),
$BN$259:$BN$587,0),
MATCH($C$8,$BR$258:$DS$258,0)),
0)</f>
        <v>1901636</v>
      </c>
      <c r="D106" s="50">
        <f xml:space="preserve">
IFERROR(
INDEX($BR$259:$DS$587,
MATCH(
_xlfn.CONCAT($B$6,"|",$B106),
$BN$259:$BN$587,0),
MATCH($D$8,$BR$258:$DS$258,0)),
0)</f>
        <v>1898224</v>
      </c>
    </row>
    <row r="107" spans="2:4" ht="20.149999999999999" customHeight="1" x14ac:dyDescent="0.35">
      <c r="B107" s="120" t="str">
        <f>BR357</f>
        <v>Caixa e equivalentes de caixa no final do período</v>
      </c>
      <c r="C107" s="50">
        <f xml:space="preserve">
IFERROR(
INDEX($BR$259:$DS$587,
MATCH(
_xlfn.CONCAT($B$6,"|",$B107),
$BN$259:$BN$587,0),
MATCH($C$8,$BR$258:$DS$258,0)),
0)</f>
        <v>2162396</v>
      </c>
      <c r="D107" s="50">
        <f xml:space="preserve">
IFERROR(
INDEX($BR$259:$DS$587,
MATCH(
_xlfn.CONCAT($B$6,"|",$B107),
$BN$259:$BN$587,0),
MATCH($D$8,$BR$258:$DS$258,0)),
0)</f>
        <v>1757787</v>
      </c>
    </row>
    <row r="108" spans="2:4" ht="20.149999999999999" customHeight="1" x14ac:dyDescent="0.35">
      <c r="B108" s="124"/>
      <c r="C108" s="75"/>
      <c r="D108" s="75"/>
    </row>
    <row r="109" spans="2:4" ht="30" customHeight="1" x14ac:dyDescent="0.35">
      <c r="B109" s="211" t="s">
        <v>342</v>
      </c>
      <c r="C109" s="167">
        <f>IFERROR(C107-C106,0)</f>
        <v>260760</v>
      </c>
      <c r="D109" s="167">
        <f>IFERROR(D107-D106,0)</f>
        <v>-140437</v>
      </c>
    </row>
    <row r="254" spans="70:96" ht="45" customHeight="1" x14ac:dyDescent="0.35">
      <c r="BR254" s="478" t="s">
        <v>343</v>
      </c>
      <c r="BS254" s="478"/>
      <c r="BT254" s="478"/>
      <c r="BU254" s="478"/>
      <c r="BV254" s="478"/>
      <c r="BW254" s="478"/>
      <c r="BX254" s="478"/>
      <c r="BY254" s="478"/>
      <c r="BZ254" s="478"/>
      <c r="CA254" s="478"/>
      <c r="CB254" s="478"/>
      <c r="CC254" s="478"/>
      <c r="CD254" s="478"/>
      <c r="CE254" s="478"/>
      <c r="CF254" s="478"/>
      <c r="CG254" s="478"/>
      <c r="CH254" s="478"/>
      <c r="CI254" s="478"/>
      <c r="CJ254" s="478"/>
      <c r="CK254" s="478"/>
      <c r="CL254" s="478"/>
      <c r="CM254" s="478"/>
      <c r="CN254" s="478"/>
      <c r="CO254" s="478"/>
      <c r="CP254" s="478"/>
      <c r="CQ254" s="478"/>
      <c r="CR254" s="478"/>
    </row>
    <row r="255" spans="70:96" ht="12" customHeight="1" x14ac:dyDescent="0.35">
      <c r="BR255" s="111"/>
      <c r="BS255" s="111"/>
      <c r="BT255" s="111"/>
      <c r="BU255" s="111"/>
      <c r="BV255" s="111"/>
      <c r="BW255" s="111"/>
      <c r="BX255" s="111"/>
      <c r="BY255" s="111"/>
      <c r="BZ255" s="111"/>
      <c r="CA255" s="111"/>
      <c r="CB255" s="111"/>
      <c r="CC255" s="111"/>
      <c r="CD255" s="111"/>
      <c r="CE255" s="111"/>
      <c r="CF255" s="111"/>
      <c r="CG255" s="111"/>
      <c r="CH255" s="111"/>
      <c r="CI255" s="111"/>
      <c r="CJ255" s="111"/>
      <c r="CK255" s="111"/>
      <c r="CL255" s="111"/>
      <c r="CM255" s="111"/>
      <c r="CN255" s="111"/>
      <c r="CO255" s="111"/>
      <c r="CP255" s="111"/>
      <c r="CQ255" s="111"/>
      <c r="CR255" s="111"/>
    </row>
    <row r="256" spans="70:96" ht="40" customHeight="1" x14ac:dyDescent="0.35">
      <c r="BR256" s="479" t="s">
        <v>1</v>
      </c>
      <c r="BS256" s="479"/>
      <c r="BT256" s="479"/>
      <c r="BU256" s="479"/>
      <c r="BV256" s="479"/>
      <c r="BW256" s="479"/>
      <c r="BX256" s="479"/>
      <c r="BY256" s="479"/>
      <c r="BZ256" s="479"/>
      <c r="CA256" s="479"/>
      <c r="CB256" s="479"/>
      <c r="CC256" s="479"/>
      <c r="CD256" s="479"/>
      <c r="CE256" s="479"/>
      <c r="CF256" s="479"/>
      <c r="CG256" s="479"/>
      <c r="CH256" s="479"/>
      <c r="CI256" s="479"/>
      <c r="CJ256" s="479"/>
      <c r="CK256" s="479"/>
      <c r="CL256" s="479"/>
      <c r="CM256" s="479"/>
      <c r="CN256" s="479"/>
      <c r="CO256" s="479"/>
      <c r="CP256" s="479"/>
      <c r="CQ256" s="479"/>
      <c r="CR256" s="479"/>
    </row>
    <row r="257" spans="66:96" ht="12" customHeight="1" x14ac:dyDescent="0.35"/>
    <row r="258" spans="66:96" ht="30" customHeight="1" x14ac:dyDescent="0.35">
      <c r="BR258" s="211" t="s">
        <v>338</v>
      </c>
      <c r="BS258" s="180" t="s">
        <v>246</v>
      </c>
      <c r="BT258" s="180" t="s">
        <v>247</v>
      </c>
      <c r="BU258" s="180" t="s">
        <v>234</v>
      </c>
      <c r="BV258" s="180" t="s">
        <v>248</v>
      </c>
      <c r="BW258" s="180" t="s">
        <v>249</v>
      </c>
      <c r="BX258" s="180" t="s">
        <v>250</v>
      </c>
      <c r="BY258" s="180" t="s">
        <v>251</v>
      </c>
      <c r="BZ258" s="180" t="s">
        <v>252</v>
      </c>
      <c r="CA258" s="180" t="s">
        <v>253</v>
      </c>
      <c r="CB258" s="180" t="s">
        <v>254</v>
      </c>
      <c r="CC258" s="180" t="s">
        <v>255</v>
      </c>
      <c r="CD258" s="180" t="s">
        <v>256</v>
      </c>
      <c r="CE258" s="180" t="s">
        <v>257</v>
      </c>
      <c r="CF258" s="180" t="s">
        <v>258</v>
      </c>
      <c r="CG258" s="180" t="s">
        <v>259</v>
      </c>
      <c r="CH258" s="180" t="s">
        <v>260</v>
      </c>
      <c r="CI258" s="180" t="s">
        <v>261</v>
      </c>
      <c r="CJ258" s="180" t="s">
        <v>262</v>
      </c>
      <c r="CK258" s="180" t="s">
        <v>263</v>
      </c>
      <c r="CL258" s="180" t="s">
        <v>264</v>
      </c>
      <c r="CM258" s="180" t="s">
        <v>265</v>
      </c>
      <c r="CN258" s="180" t="s">
        <v>266</v>
      </c>
      <c r="CO258" s="180" t="s">
        <v>267</v>
      </c>
      <c r="CP258" s="180" t="s">
        <v>268</v>
      </c>
      <c r="CQ258" s="180" t="s">
        <v>269</v>
      </c>
      <c r="CR258" s="180" t="s">
        <v>270</v>
      </c>
    </row>
    <row r="259" spans="66:96" ht="25" customHeight="1" x14ac:dyDescent="0.35">
      <c r="BN259" s="81" t="str">
        <f>_xlfn.CONCAT($BR$256,"|",$BR$258,"|",BR259)</f>
        <v>CEMIG|FLUXO DE CAIXA DAS ATIVIDADES OPERACIONAIS|LUCRO LÍQUIDO DO PERÍODO</v>
      </c>
      <c r="BO259" s="81"/>
      <c r="BP259" s="81"/>
      <c r="BR259" s="42" t="s">
        <v>232</v>
      </c>
      <c r="BS259" s="46">
        <v>1924423</v>
      </c>
      <c r="BT259" s="46">
        <v>978979</v>
      </c>
      <c r="BU259" s="46">
        <v>4899617</v>
      </c>
      <c r="BV259" s="46">
        <v>3023763</v>
      </c>
      <c r="BW259" s="46">
        <v>2227021</v>
      </c>
      <c r="BX259" s="46">
        <v>1038740</v>
      </c>
      <c r="BY259" s="46">
        <v>7119287</v>
      </c>
      <c r="BZ259" s="46">
        <v>6121674</v>
      </c>
      <c r="CA259" s="46">
        <v>2841477</v>
      </c>
      <c r="CB259" s="46">
        <v>1152891</v>
      </c>
      <c r="CC259" s="46">
        <v>5766835</v>
      </c>
      <c r="CD259" s="46">
        <v>3880895</v>
      </c>
      <c r="CE259" s="46">
        <v>2643588</v>
      </c>
      <c r="CF259" s="46">
        <v>1398206</v>
      </c>
      <c r="CG259" s="46">
        <v>4094367</v>
      </c>
      <c r="CH259" s="46">
        <v>2687800</v>
      </c>
      <c r="CI259" s="46">
        <v>1505447</v>
      </c>
      <c r="CJ259" s="46">
        <v>1455571</v>
      </c>
      <c r="CK259" s="46">
        <v>3752869</v>
      </c>
      <c r="CL259" s="46">
        <v>2790467</v>
      </c>
      <c r="CM259" s="46">
        <v>2368990</v>
      </c>
      <c r="CN259" s="46">
        <v>422351</v>
      </c>
      <c r="CO259" s="46">
        <v>2865121</v>
      </c>
      <c r="CP259" s="46">
        <v>1592816</v>
      </c>
      <c r="CQ259" s="46">
        <v>1013517</v>
      </c>
      <c r="CR259" s="46">
        <v>-68133</v>
      </c>
    </row>
    <row r="260" spans="66:96" ht="19" customHeight="1" x14ac:dyDescent="0.35">
      <c r="BN260" s="81"/>
      <c r="BO260" s="81"/>
      <c r="BP260" s="81"/>
      <c r="BR260" s="42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</row>
    <row r="261" spans="66:96" ht="25" customHeight="1" x14ac:dyDescent="0.35">
      <c r="BN261" s="81" t="str">
        <f>BR261</f>
        <v>CONCILIAÇÃO DO LUCRO COM O CAIXA GERADO NAS OPERAÇÕES</v>
      </c>
      <c r="BO261" s="81"/>
      <c r="BP261" s="81"/>
      <c r="BR261" s="42" t="s">
        <v>344</v>
      </c>
      <c r="BS261" s="46">
        <f t="shared" ref="BS261:BT261" si="15">IFERROR(SUM(BS262:BS292,BS259),0)</f>
        <v>2492989</v>
      </c>
      <c r="BT261" s="46">
        <f t="shared" si="15"/>
        <v>900310</v>
      </c>
      <c r="BU261" s="46">
        <f>IFERROR(SUM(BU262:BU292,BU259),0)</f>
        <v>5630410</v>
      </c>
      <c r="BV261" s="46">
        <f t="shared" ref="BV261:CR261" si="16">IFERROR(SUM(BV262:BV292,BV259),0)</f>
        <v>4142988</v>
      </c>
      <c r="BW261" s="46">
        <f t="shared" si="16"/>
        <v>2981064</v>
      </c>
      <c r="BX261" s="46">
        <f t="shared" si="16"/>
        <v>1551544</v>
      </c>
      <c r="BY261" s="46">
        <f t="shared" si="16"/>
        <v>6003660</v>
      </c>
      <c r="BZ261" s="46">
        <f t="shared" si="16"/>
        <v>4213567</v>
      </c>
      <c r="CA261" s="46">
        <f t="shared" si="16"/>
        <v>3214337</v>
      </c>
      <c r="CB261" s="46">
        <f t="shared" si="16"/>
        <v>1535273</v>
      </c>
      <c r="CC261" s="46">
        <f t="shared" si="16"/>
        <v>6270257</v>
      </c>
      <c r="CD261" s="46">
        <f t="shared" si="16"/>
        <v>4313398</v>
      </c>
      <c r="CE261" s="46">
        <f t="shared" si="16"/>
        <v>2311434</v>
      </c>
      <c r="CF261" s="46">
        <f t="shared" si="16"/>
        <v>1131160</v>
      </c>
      <c r="CG261" s="46">
        <f t="shared" si="16"/>
        <v>4066192</v>
      </c>
      <c r="CH261" s="46">
        <f t="shared" si="16"/>
        <v>4014827</v>
      </c>
      <c r="CI261" s="46">
        <f t="shared" si="16"/>
        <v>3154673</v>
      </c>
      <c r="CJ261" s="46">
        <f t="shared" si="16"/>
        <v>1549245</v>
      </c>
      <c r="CK261" s="46">
        <f t="shared" si="16"/>
        <v>1536732</v>
      </c>
      <c r="CL261" s="46">
        <f t="shared" si="16"/>
        <v>851388</v>
      </c>
      <c r="CM261" s="46">
        <f t="shared" si="16"/>
        <v>987611</v>
      </c>
      <c r="CN261" s="46">
        <f t="shared" si="16"/>
        <v>801372</v>
      </c>
      <c r="CO261" s="46">
        <f t="shared" si="16"/>
        <v>3829783</v>
      </c>
      <c r="CP261" s="46">
        <f t="shared" si="16"/>
        <v>3179556</v>
      </c>
      <c r="CQ261" s="46">
        <f t="shared" si="16"/>
        <v>2058766</v>
      </c>
      <c r="CR261" s="46">
        <f t="shared" si="16"/>
        <v>1287803</v>
      </c>
    </row>
    <row r="262" spans="66:96" ht="19" customHeight="1" x14ac:dyDescent="0.35">
      <c r="BN262" s="1" t="str">
        <f t="shared" ref="BN262:BN292" si="17">_xlfn.CONCAT($BR$256,"|",$BR$258,"|",$BR$261,"|",BR262)</f>
        <v>CEMIG|FLUXO DE CAIXA DAS ATIVIDADES OPERACIONAIS|CONCILIAÇÃO DO LUCRO COM O CAIXA GERADO NAS OPERAÇÕES|Impostos de renda e contribuição social corrente e diferido</v>
      </c>
      <c r="BP262" s="392"/>
      <c r="BR262" s="49" t="s">
        <v>346</v>
      </c>
      <c r="BS262" s="76">
        <v>157849</v>
      </c>
      <c r="BT262" s="76">
        <v>69952</v>
      </c>
      <c r="BU262" s="76">
        <v>771607</v>
      </c>
      <c r="BV262" s="32">
        <v>414622</v>
      </c>
      <c r="BW262" s="32">
        <v>364835</v>
      </c>
      <c r="BX262" s="32">
        <v>175026</v>
      </c>
      <c r="BY262" s="32">
        <v>2237853</v>
      </c>
      <c r="BZ262" s="32">
        <v>2081575</v>
      </c>
      <c r="CA262" s="32">
        <v>811152</v>
      </c>
      <c r="CB262" s="32">
        <v>348815</v>
      </c>
      <c r="CC262" s="32">
        <v>1084325</v>
      </c>
      <c r="CD262" s="32">
        <v>967621</v>
      </c>
      <c r="CE262" s="32">
        <v>162253</v>
      </c>
      <c r="CF262" s="32">
        <v>355185</v>
      </c>
      <c r="CG262" s="32">
        <v>26189</v>
      </c>
      <c r="CH262" s="32">
        <v>-808520</v>
      </c>
      <c r="CI262" s="32">
        <v>-734344</v>
      </c>
      <c r="CJ262" s="32">
        <v>-82418</v>
      </c>
      <c r="CK262" s="32">
        <v>-210773</v>
      </c>
      <c r="CL262" s="32">
        <v>-87096</v>
      </c>
      <c r="CM262" s="32">
        <v>-65593</v>
      </c>
      <c r="CN262" s="32">
        <v>-344379</v>
      </c>
      <c r="CO262" s="32">
        <v>252035</v>
      </c>
      <c r="CP262" s="32">
        <v>-20034</v>
      </c>
      <c r="CQ262" s="32">
        <v>-1179</v>
      </c>
      <c r="CR262" s="32">
        <v>-305760</v>
      </c>
    </row>
    <row r="263" spans="66:96" ht="19" customHeight="1" x14ac:dyDescent="0.35">
      <c r="BN263" s="1" t="str">
        <f t="shared" si="17"/>
        <v>CEMIG|FLUXO DE CAIXA DAS ATIVIDADES OPERACIONAIS|CONCILIAÇÃO DO LUCRO COM O CAIXA GERADO NAS OPERAÇÕES|Depreciação e amortização</v>
      </c>
      <c r="BP263" s="392"/>
      <c r="BR263" s="49" t="s">
        <v>79</v>
      </c>
      <c r="BS263" s="76">
        <v>811390</v>
      </c>
      <c r="BT263" s="76">
        <v>401321</v>
      </c>
      <c r="BU263" s="76">
        <v>1533416</v>
      </c>
      <c r="BV263" s="32">
        <v>1110172</v>
      </c>
      <c r="BW263" s="32">
        <v>732240</v>
      </c>
      <c r="BX263" s="32">
        <v>363847</v>
      </c>
      <c r="BY263" s="32">
        <v>1376058</v>
      </c>
      <c r="BZ263" s="32">
        <v>1012063</v>
      </c>
      <c r="CA263" s="32">
        <v>667452</v>
      </c>
      <c r="CB263" s="32">
        <v>329059</v>
      </c>
      <c r="CC263" s="32">
        <v>1274074</v>
      </c>
      <c r="CD263" s="32">
        <v>922622</v>
      </c>
      <c r="CE263" s="32">
        <v>607698</v>
      </c>
      <c r="CF263" s="32">
        <v>302932</v>
      </c>
      <c r="CG263" s="32">
        <v>1182084</v>
      </c>
      <c r="CH263" s="32">
        <v>869536</v>
      </c>
      <c r="CI263" s="32">
        <v>571929</v>
      </c>
      <c r="CJ263" s="32">
        <v>283909</v>
      </c>
      <c r="CK263" s="32">
        <v>1049108</v>
      </c>
      <c r="CL263" s="32">
        <v>763482</v>
      </c>
      <c r="CM263" s="32">
        <v>480164</v>
      </c>
      <c r="CN263" s="32">
        <v>238431</v>
      </c>
      <c r="CO263" s="32">
        <v>989053</v>
      </c>
      <c r="CP263" s="32">
        <v>733538</v>
      </c>
      <c r="CQ263" s="32">
        <v>488449</v>
      </c>
      <c r="CR263" s="32">
        <v>242752</v>
      </c>
    </row>
    <row r="264" spans="66:96" ht="19" customHeight="1" x14ac:dyDescent="0.35">
      <c r="BN264" s="1" t="str">
        <f t="shared" si="17"/>
        <v>CEMIG|FLUXO DE CAIXA DAS ATIVIDADES OPERACIONAIS|CONCILIAÇÃO DO LUCRO COM O CAIXA GERADO NAS OPERAÇÕES|Baixa de valor residual líquido de ativos de contrato, ativos financeiros da concessão, imobilizado e intangível</v>
      </c>
      <c r="BP264" s="392"/>
      <c r="BR264" s="49" t="s">
        <v>347</v>
      </c>
      <c r="BS264" s="76">
        <v>72793</v>
      </c>
      <c r="BT264" s="76">
        <v>9616</v>
      </c>
      <c r="BU264" s="76">
        <v>210433</v>
      </c>
      <c r="BV264" s="32">
        <v>100175</v>
      </c>
      <c r="BW264" s="32">
        <v>74799</v>
      </c>
      <c r="BX264" s="32">
        <v>31348</v>
      </c>
      <c r="BY264" s="32">
        <v>83438</v>
      </c>
      <c r="BZ264" s="32">
        <v>75797</v>
      </c>
      <c r="CA264" s="32">
        <v>42869</v>
      </c>
      <c r="CB264" s="32">
        <v>18515</v>
      </c>
      <c r="CC264" s="32">
        <v>97459</v>
      </c>
      <c r="CD264" s="32">
        <v>53787</v>
      </c>
      <c r="CE264" s="32">
        <v>94132</v>
      </c>
      <c r="CF264" s="32">
        <v>62032</v>
      </c>
      <c r="CG264" s="32">
        <v>73626</v>
      </c>
      <c r="CH264" s="32">
        <v>197273</v>
      </c>
      <c r="CI264" s="32">
        <v>192687</v>
      </c>
      <c r="CJ264" s="32">
        <v>7944</v>
      </c>
      <c r="CK264" s="32">
        <v>46960</v>
      </c>
      <c r="CL264" s="32">
        <v>32088</v>
      </c>
      <c r="CM264" s="32">
        <v>19615</v>
      </c>
      <c r="CN264" s="32">
        <v>14444</v>
      </c>
      <c r="CO264" s="32">
        <v>39039</v>
      </c>
      <c r="CP264" s="32">
        <v>23450</v>
      </c>
      <c r="CQ264" s="32">
        <v>16819</v>
      </c>
      <c r="CR264" s="32">
        <v>7153</v>
      </c>
    </row>
    <row r="265" spans="66:96" ht="19" customHeight="1" x14ac:dyDescent="0.35">
      <c r="BN265" s="1" t="str">
        <f t="shared" si="17"/>
        <v>CEMIG|FLUXO DE CAIXA DAS ATIVIDADES OPERACIONAIS|CONCILIAÇÃO DO LUCRO COM O CAIXA GERADO NAS OPERAÇÕES|Ganho na alienação de imobilizados e intangíveis</v>
      </c>
      <c r="BR265" s="49" t="s">
        <v>348</v>
      </c>
      <c r="BS265" s="76"/>
      <c r="BT265" s="76">
        <v>-26191</v>
      </c>
      <c r="BU265" s="76">
        <v>-28890</v>
      </c>
      <c r="BV265" s="32">
        <v>0</v>
      </c>
      <c r="BW265" s="32">
        <v>0</v>
      </c>
      <c r="BX265" s="32">
        <v>0</v>
      </c>
      <c r="BY265" s="32">
        <v>-42989</v>
      </c>
      <c r="BZ265" s="32">
        <v>-42989</v>
      </c>
      <c r="CA265" s="32">
        <v>-42989</v>
      </c>
      <c r="CB265" s="32">
        <v>-42989</v>
      </c>
      <c r="CC265" s="32">
        <v>-30487</v>
      </c>
      <c r="CD265" s="32">
        <v>0</v>
      </c>
      <c r="CE265" s="32">
        <v>-30487</v>
      </c>
      <c r="CF265" s="32">
        <v>-30487</v>
      </c>
      <c r="CG265" s="32">
        <v>0</v>
      </c>
      <c r="CH265" s="32">
        <v>0</v>
      </c>
      <c r="CI265" s="32">
        <v>0</v>
      </c>
      <c r="CJ265" s="32">
        <v>0</v>
      </c>
      <c r="CK265" s="32">
        <v>0</v>
      </c>
      <c r="CL265" s="32">
        <v>0</v>
      </c>
      <c r="CM265" s="32">
        <v>0</v>
      </c>
      <c r="CN265" s="32">
        <v>0</v>
      </c>
      <c r="CO265" s="32">
        <v>0</v>
      </c>
      <c r="CP265" s="32">
        <v>0</v>
      </c>
      <c r="CQ265" s="32">
        <v>0</v>
      </c>
      <c r="CR265" s="32">
        <v>0</v>
      </c>
    </row>
    <row r="266" spans="66:96" ht="19" customHeight="1" x14ac:dyDescent="0.35">
      <c r="BN266" s="1" t="str">
        <f t="shared" si="17"/>
        <v>CEMIG|FLUXO DE CAIXA DAS ATIVIDADES OPERACIONAIS|CONCILIAÇÃO DO LUCRO COM O CAIXA GERADO NAS OPERAÇÕES|Reembolso de subsídios tarifários</v>
      </c>
      <c r="BP266" s="392"/>
      <c r="BR266" s="49" t="s">
        <v>349</v>
      </c>
      <c r="BS266" s="76">
        <v>-416130</v>
      </c>
      <c r="BT266" s="76">
        <v>-368444</v>
      </c>
      <c r="BU266" s="76">
        <v>-934961</v>
      </c>
      <c r="BV266" s="32">
        <v>-814288</v>
      </c>
      <c r="BW266" s="32">
        <v>-638368</v>
      </c>
      <c r="BX266" s="32">
        <v>0</v>
      </c>
      <c r="BY266" s="32">
        <v>0</v>
      </c>
      <c r="BZ266" s="32">
        <v>0</v>
      </c>
      <c r="CA266" s="32">
        <v>0</v>
      </c>
      <c r="CB266" s="32">
        <v>0</v>
      </c>
      <c r="CC266" s="32">
        <v>0</v>
      </c>
      <c r="CD266" s="32">
        <v>0</v>
      </c>
      <c r="CE266" s="32">
        <v>0</v>
      </c>
      <c r="CF266" s="32">
        <v>0</v>
      </c>
      <c r="CG266" s="32">
        <v>0</v>
      </c>
      <c r="CH266" s="32">
        <v>0</v>
      </c>
      <c r="CI266" s="32">
        <v>0</v>
      </c>
      <c r="CJ266" s="32">
        <v>0</v>
      </c>
      <c r="CK266" s="32">
        <v>0</v>
      </c>
      <c r="CL266" s="32">
        <v>0</v>
      </c>
      <c r="CM266" s="32">
        <v>0</v>
      </c>
      <c r="CN266" s="32">
        <v>0</v>
      </c>
      <c r="CO266" s="32">
        <v>0</v>
      </c>
      <c r="CP266" s="32">
        <v>0</v>
      </c>
      <c r="CQ266" s="32">
        <v>0</v>
      </c>
      <c r="CR266" s="32">
        <v>0</v>
      </c>
    </row>
    <row r="267" spans="66:96" ht="19" customHeight="1" x14ac:dyDescent="0.35">
      <c r="BN267" s="1" t="str">
        <f t="shared" si="17"/>
        <v>CEMIG|FLUXO DE CAIXA DAS ATIVIDADES OPERACIONAIS|CONCILIAÇÃO DO LUCRO COM O CAIXA GERADO NAS OPERAÇÕES|Remensuração da Rede Básica do Sistema Existente (RBSE)</v>
      </c>
      <c r="BR267" s="49" t="s">
        <v>350</v>
      </c>
      <c r="BS267" s="76">
        <v>0</v>
      </c>
      <c r="BT267" s="76">
        <v>0</v>
      </c>
      <c r="BU267" s="76">
        <v>219168</v>
      </c>
      <c r="BV267" s="32">
        <v>219168</v>
      </c>
      <c r="BW267" s="32">
        <v>219168</v>
      </c>
      <c r="BX267" s="32">
        <v>0</v>
      </c>
      <c r="BY267" s="32">
        <v>0</v>
      </c>
      <c r="BZ267" s="32">
        <v>0</v>
      </c>
      <c r="CA267" s="32">
        <v>0</v>
      </c>
      <c r="CB267" s="32">
        <v>0</v>
      </c>
      <c r="CC267" s="32">
        <v>0</v>
      </c>
      <c r="CD267" s="32">
        <v>0</v>
      </c>
      <c r="CE267" s="32">
        <v>0</v>
      </c>
      <c r="CF267" s="32">
        <v>0</v>
      </c>
      <c r="CG267" s="32">
        <v>0</v>
      </c>
      <c r="CH267" s="32">
        <v>0</v>
      </c>
      <c r="CI267" s="32">
        <v>0</v>
      </c>
      <c r="CJ267" s="32">
        <v>0</v>
      </c>
      <c r="CK267" s="32">
        <v>0</v>
      </c>
      <c r="CL267" s="32">
        <v>0</v>
      </c>
      <c r="CM267" s="32">
        <v>0</v>
      </c>
      <c r="CN267" s="32">
        <v>0</v>
      </c>
      <c r="CO267" s="32">
        <v>0</v>
      </c>
      <c r="CP267" s="32">
        <v>0</v>
      </c>
      <c r="CQ267" s="32">
        <v>0</v>
      </c>
      <c r="CR267" s="32">
        <v>0</v>
      </c>
    </row>
    <row r="268" spans="66:96" ht="19" customHeight="1" x14ac:dyDescent="0.35">
      <c r="BN268" s="1" t="str">
        <f t="shared" si="17"/>
        <v>CEMIG|FLUXO DE CAIXA DAS ATIVIDADES OPERACIONAIS|CONCILIAÇÃO DO LUCRO COM O CAIXA GERADO NAS OPERAÇÕES|Ajuste de valor justo de ativo financeiro</v>
      </c>
      <c r="BR268" s="49" t="s">
        <v>351</v>
      </c>
      <c r="BS268" s="76">
        <v>0</v>
      </c>
      <c r="BT268" s="76">
        <v>0</v>
      </c>
      <c r="BU268" s="76">
        <v>0</v>
      </c>
      <c r="BV268" s="32">
        <v>0</v>
      </c>
      <c r="BW268" s="32">
        <v>0</v>
      </c>
      <c r="BX268" s="32">
        <v>0</v>
      </c>
      <c r="BY268" s="32">
        <v>0</v>
      </c>
      <c r="BZ268" s="32">
        <v>0</v>
      </c>
      <c r="CA268" s="32">
        <v>0</v>
      </c>
      <c r="CB268" s="32">
        <v>0</v>
      </c>
      <c r="CC268" s="32">
        <v>0</v>
      </c>
      <c r="CD268" s="32">
        <v>0</v>
      </c>
      <c r="CE268" s="32">
        <v>0</v>
      </c>
      <c r="CF268" s="32">
        <v>0</v>
      </c>
      <c r="CG268" s="32">
        <v>171770</v>
      </c>
      <c r="CH268" s="32">
        <v>0</v>
      </c>
      <c r="CI268" s="32">
        <v>0</v>
      </c>
      <c r="CJ268" s="32">
        <v>0</v>
      </c>
      <c r="CK268" s="32">
        <v>0</v>
      </c>
      <c r="CL268" s="32">
        <v>0</v>
      </c>
      <c r="CM268" s="32">
        <v>0</v>
      </c>
      <c r="CN268" s="32">
        <v>0</v>
      </c>
      <c r="CO268" s="32">
        <v>0</v>
      </c>
      <c r="CP268" s="32">
        <v>0</v>
      </c>
      <c r="CQ268" s="32">
        <v>0</v>
      </c>
      <c r="CR268" s="32">
        <v>0</v>
      </c>
    </row>
    <row r="269" spans="66:96" ht="19" customHeight="1" x14ac:dyDescent="0.35">
      <c r="BN269" s="1" t="str">
        <f t="shared" si="17"/>
        <v>CEMIG|FLUXO DE CAIXA DAS ATIVIDADES OPERACIONAIS|CONCILIAÇÃO DO LUCRO COM O CAIXA GERADO NAS OPERAÇÕES|Ajuste de ativos em curso</v>
      </c>
      <c r="BR269" s="49" t="s">
        <v>352</v>
      </c>
      <c r="BS269" s="76">
        <v>0</v>
      </c>
      <c r="BT269" s="76">
        <v>0</v>
      </c>
      <c r="BU269" s="76">
        <v>0</v>
      </c>
      <c r="BV269" s="32">
        <v>0</v>
      </c>
      <c r="BW269" s="32">
        <v>0</v>
      </c>
      <c r="BX269" s="32">
        <v>0</v>
      </c>
      <c r="BY269" s="32">
        <v>10601</v>
      </c>
      <c r="BZ269" s="32">
        <v>0</v>
      </c>
      <c r="CA269" s="32">
        <v>0</v>
      </c>
      <c r="CB269" s="32">
        <v>0</v>
      </c>
      <c r="CC269" s="32">
        <v>-7500</v>
      </c>
      <c r="CD269" s="32">
        <v>-15582</v>
      </c>
      <c r="CE269" s="32">
        <v>-15582</v>
      </c>
      <c r="CF269" s="32">
        <v>-15583</v>
      </c>
      <c r="CG269" s="32">
        <v>595</v>
      </c>
      <c r="CH269" s="32">
        <v>0</v>
      </c>
      <c r="CI269" s="32">
        <v>0</v>
      </c>
      <c r="CJ269" s="32">
        <v>0</v>
      </c>
      <c r="CK269" s="32">
        <v>10937</v>
      </c>
      <c r="CL269" s="32">
        <v>0</v>
      </c>
      <c r="CM269" s="32">
        <v>0</v>
      </c>
      <c r="CN269" s="32">
        <v>0</v>
      </c>
      <c r="CO269" s="32">
        <v>0</v>
      </c>
      <c r="CP269" s="32">
        <v>0</v>
      </c>
      <c r="CQ269" s="32">
        <v>0</v>
      </c>
      <c r="CR269" s="32">
        <v>0</v>
      </c>
    </row>
    <row r="270" spans="66:96" ht="19" customHeight="1" x14ac:dyDescent="0.35">
      <c r="BN270" s="1" t="str">
        <f t="shared" si="17"/>
        <v>CEMIG|FLUXO DE CAIXA DAS ATIVIDADES OPERACIONAIS|CONCILIAÇÃO DO LUCRO COM O CAIXA GERADO NAS OPERAÇÕES|Perda por redução ao valor recuperável</v>
      </c>
      <c r="BR270" s="49" t="s">
        <v>81</v>
      </c>
      <c r="BS270" s="76">
        <v>0</v>
      </c>
      <c r="BT270" s="76">
        <v>0</v>
      </c>
      <c r="BU270" s="76">
        <v>0</v>
      </c>
      <c r="BV270" s="32">
        <v>0</v>
      </c>
      <c r="BW270" s="32">
        <v>0</v>
      </c>
      <c r="BX270" s="32">
        <v>0</v>
      </c>
      <c r="BY270" s="32">
        <v>45974</v>
      </c>
      <c r="BZ270" s="32">
        <v>0</v>
      </c>
      <c r="CA270" s="32">
        <v>0</v>
      </c>
      <c r="CB270" s="32">
        <v>0</v>
      </c>
      <c r="CC270" s="32">
        <v>0</v>
      </c>
      <c r="CD270" s="32">
        <v>0</v>
      </c>
      <c r="CE270" s="32">
        <v>0</v>
      </c>
      <c r="CF270" s="32">
        <v>0</v>
      </c>
      <c r="CG270" s="32">
        <v>0</v>
      </c>
      <c r="CH270" s="32">
        <v>0</v>
      </c>
      <c r="CI270" s="32">
        <v>0</v>
      </c>
      <c r="CJ270" s="32">
        <v>0</v>
      </c>
      <c r="CK270" s="32">
        <v>0</v>
      </c>
      <c r="CL270" s="32">
        <v>0</v>
      </c>
      <c r="CM270" s="32">
        <v>0</v>
      </c>
      <c r="CN270" s="32">
        <v>0</v>
      </c>
      <c r="CO270" s="32">
        <v>0</v>
      </c>
      <c r="CP270" s="32">
        <v>0</v>
      </c>
      <c r="CQ270" s="32">
        <v>0</v>
      </c>
      <c r="CR270" s="32">
        <v>0</v>
      </c>
    </row>
    <row r="271" spans="66:96" ht="19" customHeight="1" x14ac:dyDescent="0.35">
      <c r="BN271" s="1" t="str">
        <f t="shared" si="17"/>
        <v>CEMIG|FLUXO DE CAIXA DAS ATIVIDADES OPERACIONAIS|CONCILIAÇÃO DO LUCRO COM O CAIXA GERADO NAS OPERAÇÕES|Ganho por remensuração de participação anterior</v>
      </c>
      <c r="BR271" s="49" t="s">
        <v>151</v>
      </c>
      <c r="BS271" s="76">
        <v>0</v>
      </c>
      <c r="BT271" s="76">
        <v>0</v>
      </c>
      <c r="BU271" s="76">
        <v>-61746</v>
      </c>
      <c r="BV271" s="32">
        <v>0</v>
      </c>
      <c r="BW271" s="32">
        <v>0</v>
      </c>
      <c r="BX271" s="32">
        <v>0</v>
      </c>
      <c r="BY271" s="32">
        <v>0</v>
      </c>
      <c r="BZ271" s="32">
        <v>0</v>
      </c>
      <c r="CA271" s="32">
        <v>0</v>
      </c>
      <c r="CB271" s="32">
        <v>0</v>
      </c>
      <c r="CC271" s="32">
        <v>0</v>
      </c>
      <c r="CD271" s="32">
        <v>0</v>
      </c>
      <c r="CE271" s="32">
        <v>0</v>
      </c>
      <c r="CF271" s="32">
        <v>0</v>
      </c>
      <c r="CG271" s="32">
        <v>0</v>
      </c>
      <c r="CH271" s="32">
        <v>0</v>
      </c>
      <c r="CI271" s="32">
        <v>0</v>
      </c>
      <c r="CJ271" s="32">
        <v>0</v>
      </c>
      <c r="CK271" s="32">
        <v>0</v>
      </c>
      <c r="CL271" s="32">
        <v>0</v>
      </c>
      <c r="CM271" s="32">
        <v>0</v>
      </c>
      <c r="CN271" s="32">
        <v>0</v>
      </c>
      <c r="CO271" s="32">
        <v>0</v>
      </c>
      <c r="CP271" s="32">
        <v>0</v>
      </c>
      <c r="CQ271" s="32">
        <v>0</v>
      </c>
      <c r="CR271" s="32">
        <v>0</v>
      </c>
    </row>
    <row r="272" spans="66:96" ht="19" customHeight="1" x14ac:dyDescent="0.35">
      <c r="BN272" s="1" t="str">
        <f t="shared" si="17"/>
        <v>CEMIG|FLUXO DE CAIXA DAS ATIVIDADES OPERACIONAIS|CONCILIAÇÃO DO LUCRO COM O CAIXA GERADO NAS OPERAÇÕES|Ganho por compra vantajosa</v>
      </c>
      <c r="BR272" s="49" t="s">
        <v>93</v>
      </c>
      <c r="BS272" s="76">
        <v>0</v>
      </c>
      <c r="BT272" s="76">
        <v>0</v>
      </c>
      <c r="BU272" s="76">
        <v>-12446</v>
      </c>
      <c r="BV272" s="32">
        <v>0</v>
      </c>
      <c r="BW272" s="32">
        <v>0</v>
      </c>
      <c r="BX272" s="32">
        <v>0</v>
      </c>
      <c r="BY272" s="32">
        <v>0</v>
      </c>
      <c r="BZ272" s="32">
        <v>-14136</v>
      </c>
      <c r="CA272" s="32">
        <v>0</v>
      </c>
      <c r="CB272" s="32">
        <v>0</v>
      </c>
      <c r="CC272" s="32">
        <v>0</v>
      </c>
      <c r="CD272" s="32">
        <v>0</v>
      </c>
      <c r="CE272" s="32">
        <v>0</v>
      </c>
      <c r="CF272" s="32">
        <v>0</v>
      </c>
      <c r="CG272" s="32">
        <v>-5340</v>
      </c>
      <c r="CH272" s="32">
        <v>0</v>
      </c>
      <c r="CI272" s="32">
        <v>0</v>
      </c>
      <c r="CJ272" s="32">
        <v>0</v>
      </c>
      <c r="CK272" s="32">
        <v>-4006</v>
      </c>
      <c r="CL272" s="32">
        <v>0</v>
      </c>
      <c r="CM272" s="32">
        <v>0</v>
      </c>
      <c r="CN272" s="32">
        <v>0</v>
      </c>
      <c r="CO272" s="32">
        <v>-51736</v>
      </c>
      <c r="CP272" s="32">
        <v>-51736</v>
      </c>
      <c r="CQ272" s="32">
        <v>-51736</v>
      </c>
      <c r="CR272" s="32">
        <v>-51736</v>
      </c>
    </row>
    <row r="273" spans="66:96" ht="19" customHeight="1" x14ac:dyDescent="0.35">
      <c r="BN273" s="1" t="str">
        <f t="shared" si="17"/>
        <v>CEMIG|FLUXO DE CAIXA DAS ATIVIDADES OPERACIONAIS|CONCILIAÇÃO DO LUCRO COM O CAIXA GERADO NAS OPERAÇÕES|Ágio na recompra de eurobonds</v>
      </c>
      <c r="BR273" s="49" t="s">
        <v>353</v>
      </c>
      <c r="BS273" s="76">
        <v>0</v>
      </c>
      <c r="BT273" s="76">
        <v>0</v>
      </c>
      <c r="BU273" s="76">
        <v>0</v>
      </c>
      <c r="BV273" s="32">
        <v>0</v>
      </c>
      <c r="BW273" s="32">
        <v>0</v>
      </c>
      <c r="BX273" s="32">
        <v>0</v>
      </c>
      <c r="BY273" s="32">
        <v>0</v>
      </c>
      <c r="BZ273" s="32">
        <v>0</v>
      </c>
      <c r="CA273" s="32">
        <v>0</v>
      </c>
      <c r="CB273" s="32">
        <v>0</v>
      </c>
      <c r="CC273" s="32">
        <v>0</v>
      </c>
      <c r="CD273" s="32">
        <v>0</v>
      </c>
      <c r="CE273" s="32">
        <v>0</v>
      </c>
      <c r="CF273" s="32">
        <v>0</v>
      </c>
      <c r="CG273" s="32">
        <v>46763</v>
      </c>
      <c r="CH273" s="32">
        <v>0</v>
      </c>
      <c r="CI273" s="32">
        <v>0</v>
      </c>
      <c r="CJ273" s="32">
        <v>0</v>
      </c>
      <c r="CK273" s="32">
        <v>491037</v>
      </c>
      <c r="CL273" s="32">
        <v>491036</v>
      </c>
      <c r="CM273" s="32">
        <v>0</v>
      </c>
      <c r="CN273" s="32">
        <v>0</v>
      </c>
      <c r="CO273" s="32">
        <v>0</v>
      </c>
      <c r="CP273" s="32">
        <v>0</v>
      </c>
      <c r="CQ273" s="32">
        <v>0</v>
      </c>
      <c r="CR273" s="32">
        <v>0</v>
      </c>
    </row>
    <row r="274" spans="66:96" ht="19" customHeight="1" x14ac:dyDescent="0.35">
      <c r="BN274" s="1" t="str">
        <f t="shared" si="17"/>
        <v>CEMIG|FLUXO DE CAIXA DAS ATIVIDADES OPERACIONAIS|CONCILIAÇÃO DO LUCRO COM O CAIXA GERADO NAS OPERAÇÕES|Resultado de equivalência patrimonial</v>
      </c>
      <c r="BP274" s="392"/>
      <c r="BR274" s="49" t="s">
        <v>354</v>
      </c>
      <c r="BS274" s="76">
        <v>-143708</v>
      </c>
      <c r="BT274" s="76">
        <v>-52325</v>
      </c>
      <c r="BU274" s="76">
        <v>-200932</v>
      </c>
      <c r="BV274" s="32">
        <v>-160245</v>
      </c>
      <c r="BW274" s="32">
        <v>-119537</v>
      </c>
      <c r="BX274" s="32">
        <v>-42119</v>
      </c>
      <c r="BY274" s="32">
        <v>-223714</v>
      </c>
      <c r="BZ274" s="32">
        <v>-190869</v>
      </c>
      <c r="CA274" s="32">
        <v>-129212</v>
      </c>
      <c r="CB274" s="32">
        <v>-90501</v>
      </c>
      <c r="CC274" s="32">
        <v>-432493</v>
      </c>
      <c r="CD274" s="32">
        <v>-293238</v>
      </c>
      <c r="CE274" s="32">
        <v>-222322</v>
      </c>
      <c r="CF274" s="32">
        <v>-153041</v>
      </c>
      <c r="CG274" s="32">
        <v>-842543</v>
      </c>
      <c r="CH274" s="32">
        <v>-768440</v>
      </c>
      <c r="CI274" s="32">
        <v>-520896</v>
      </c>
      <c r="CJ274" s="32">
        <v>-184428</v>
      </c>
      <c r="CK274" s="32">
        <v>-182076</v>
      </c>
      <c r="CL274" s="32">
        <v>-438798</v>
      </c>
      <c r="CM274" s="32">
        <v>-151479</v>
      </c>
      <c r="CN274" s="32">
        <v>-118687</v>
      </c>
      <c r="CO274" s="32">
        <v>-356698</v>
      </c>
      <c r="CP274" s="32">
        <v>-262298</v>
      </c>
      <c r="CQ274" s="32">
        <v>-164476</v>
      </c>
      <c r="CR274" s="32">
        <v>-81942</v>
      </c>
    </row>
    <row r="275" spans="66:96" ht="19" customHeight="1" x14ac:dyDescent="0.35">
      <c r="BN275" s="1" t="str">
        <f t="shared" si="17"/>
        <v>CEMIG|FLUXO DE CAIXA DAS ATIVIDADES OPERACIONAIS|CONCILIAÇÃO DO LUCRO COM O CAIXA GERADO NAS OPERAÇÕES|Ajuste na expectativa do fluxo de caixa dos ativos financeiros e de contrato da concessão</v>
      </c>
      <c r="BP275" s="392"/>
      <c r="BR275" s="49" t="s">
        <v>355</v>
      </c>
      <c r="BS275" s="76">
        <v>-806683</v>
      </c>
      <c r="BT275" s="76">
        <v>-305720</v>
      </c>
      <c r="BU275" s="76">
        <v>-1160596</v>
      </c>
      <c r="BV275" s="32">
        <v>-897374</v>
      </c>
      <c r="BW275" s="32">
        <v>-652344</v>
      </c>
      <c r="BX275" s="32">
        <v>-405044</v>
      </c>
      <c r="BY275" s="32">
        <v>-1205621</v>
      </c>
      <c r="BZ275" s="32">
        <v>-782004</v>
      </c>
      <c r="CA275" s="32">
        <v>-684709</v>
      </c>
      <c r="CB275" s="32">
        <v>-368243</v>
      </c>
      <c r="CC275" s="32">
        <v>-1246341</v>
      </c>
      <c r="CD275" s="32">
        <v>-956879</v>
      </c>
      <c r="CE275" s="32">
        <v>-671817</v>
      </c>
      <c r="CF275" s="32">
        <v>-377909</v>
      </c>
      <c r="CG275" s="32">
        <v>-1245142</v>
      </c>
      <c r="CH275" s="32">
        <v>-924340</v>
      </c>
      <c r="CI275" s="32">
        <v>-771515</v>
      </c>
      <c r="CJ275" s="32">
        <v>-360971</v>
      </c>
      <c r="CK275" s="32">
        <v>-1305900</v>
      </c>
      <c r="CL275" s="32">
        <v>-905323</v>
      </c>
      <c r="CM275" s="32">
        <v>-575561</v>
      </c>
      <c r="CN275" s="32">
        <v>-296107</v>
      </c>
      <c r="CO275" s="32">
        <v>-800968</v>
      </c>
      <c r="CP275" s="32">
        <v>-520248</v>
      </c>
      <c r="CQ275" s="32">
        <v>-290728</v>
      </c>
      <c r="CR275" s="32">
        <v>-188310</v>
      </c>
    </row>
    <row r="276" spans="66:96" ht="19" customHeight="1" x14ac:dyDescent="0.35">
      <c r="BN276" s="1" t="str">
        <f t="shared" si="17"/>
        <v>CEMIG|FLUXO DE CAIXA DAS ATIVIDADES OPERACIONAIS|CONCILIAÇÃO DO LUCRO COM O CAIXA GERADO NAS OPERAÇÕES|Juros e variações monetárias</v>
      </c>
      <c r="BP276" s="392"/>
      <c r="BR276" s="49" t="s">
        <v>356</v>
      </c>
      <c r="BS276" s="76">
        <v>1306899</v>
      </c>
      <c r="BT276" s="76">
        <v>360635</v>
      </c>
      <c r="BU276" s="76">
        <v>1160418</v>
      </c>
      <c r="BV276" s="32">
        <v>872268</v>
      </c>
      <c r="BW276" s="32">
        <v>621508</v>
      </c>
      <c r="BX276" s="32">
        <v>313767</v>
      </c>
      <c r="BY276" s="32">
        <v>427823</v>
      </c>
      <c r="BZ276" s="32">
        <v>205029</v>
      </c>
      <c r="CA276" s="32">
        <v>417964</v>
      </c>
      <c r="CB276" s="32">
        <v>212293</v>
      </c>
      <c r="CC276" s="32">
        <v>675605</v>
      </c>
      <c r="CD276" s="32">
        <v>522749</v>
      </c>
      <c r="CE276" s="32">
        <v>446995</v>
      </c>
      <c r="CF276" s="32">
        <v>158560</v>
      </c>
      <c r="CG276" s="32">
        <v>493096</v>
      </c>
      <c r="CH276" s="32">
        <v>2059745</v>
      </c>
      <c r="CI276" s="32">
        <v>823750</v>
      </c>
      <c r="CJ276" s="32">
        <v>226861</v>
      </c>
      <c r="CK276" s="32">
        <v>1381422</v>
      </c>
      <c r="CL276" s="32">
        <v>1053980</v>
      </c>
      <c r="CM276" s="32">
        <v>706941</v>
      </c>
      <c r="CN276" s="32">
        <v>419438</v>
      </c>
      <c r="CO276" s="32">
        <v>1202087</v>
      </c>
      <c r="CP276" s="32">
        <v>835735</v>
      </c>
      <c r="CQ276" s="32">
        <v>516348</v>
      </c>
      <c r="CR276" s="32">
        <v>341147</v>
      </c>
    </row>
    <row r="277" spans="66:96" ht="19" customHeight="1" x14ac:dyDescent="0.35">
      <c r="BN277" s="1" t="str">
        <f t="shared" si="17"/>
        <v>CEMIG|FLUXO DE CAIXA DAS ATIVIDADES OPERACIONAIS|CONCILIAÇÃO DO LUCRO COM O CAIXA GERADO NAS OPERAÇÕES|Variação cambial de empréstimos</v>
      </c>
      <c r="BP277" s="392"/>
      <c r="BR277" s="49" t="s">
        <v>357</v>
      </c>
      <c r="BS277" s="76">
        <v>-26584</v>
      </c>
      <c r="BT277" s="76">
        <v>-10684</v>
      </c>
      <c r="BU277" s="76">
        <v>1544</v>
      </c>
      <c r="BV277" s="32">
        <v>-5808</v>
      </c>
      <c r="BW277" s="32">
        <v>0</v>
      </c>
      <c r="BX277" s="32">
        <v>0</v>
      </c>
      <c r="BY277" s="32">
        <v>463887</v>
      </c>
      <c r="BZ277" s="32">
        <v>231258</v>
      </c>
      <c r="CA277" s="32">
        <v>273485</v>
      </c>
      <c r="CB277" s="32">
        <v>59034</v>
      </c>
      <c r="CC277" s="32">
        <v>-276687</v>
      </c>
      <c r="CD277" s="32">
        <v>-158859</v>
      </c>
      <c r="CE277" s="32">
        <v>-301310</v>
      </c>
      <c r="CF277" s="32">
        <v>-103814</v>
      </c>
      <c r="CG277" s="32">
        <v>-338265</v>
      </c>
      <c r="CH277" s="32">
        <v>-173900</v>
      </c>
      <c r="CI277" s="32">
        <v>-342500</v>
      </c>
      <c r="CJ277" s="32">
        <v>-842700</v>
      </c>
      <c r="CK277" s="32">
        <v>353321</v>
      </c>
      <c r="CL277" s="32">
        <v>212221</v>
      </c>
      <c r="CM277" s="32">
        <v>-292379</v>
      </c>
      <c r="CN277" s="32">
        <v>751781</v>
      </c>
      <c r="CO277" s="32">
        <v>1742494</v>
      </c>
      <c r="CP277" s="32">
        <v>2409658</v>
      </c>
      <c r="CQ277" s="32">
        <v>2162364</v>
      </c>
      <c r="CR277" s="32">
        <v>1756536</v>
      </c>
    </row>
    <row r="278" spans="66:96" ht="19" customHeight="1" x14ac:dyDescent="0.35">
      <c r="BN278" s="1" t="str">
        <f t="shared" si="17"/>
        <v>CEMIG|FLUXO DE CAIXA DAS ATIVIDADES OPERACIONAIS|CONCILIAÇÃO DO LUCRO COM O CAIXA GERADO NAS OPERAÇÕES|Restituição de créditos de PIS/Pasep e Cofins aos consumidores</v>
      </c>
      <c r="BR278" s="49" t="s">
        <v>358</v>
      </c>
      <c r="BS278" s="76">
        <v>0</v>
      </c>
      <c r="BT278" s="76">
        <v>0</v>
      </c>
      <c r="BU278" s="76">
        <v>-208757</v>
      </c>
      <c r="BV278" s="76">
        <v>-208757</v>
      </c>
      <c r="BW278" s="32">
        <v>-177892</v>
      </c>
      <c r="BX278" s="32">
        <v>-90712</v>
      </c>
      <c r="BY278" s="32">
        <v>-512852</v>
      </c>
      <c r="BZ278" s="32">
        <v>-512852</v>
      </c>
      <c r="CA278" s="32">
        <v>-512852</v>
      </c>
      <c r="CB278" s="32">
        <v>-322666</v>
      </c>
      <c r="CC278" s="32">
        <v>-1908658</v>
      </c>
      <c r="CD278" s="32">
        <v>-1569255</v>
      </c>
      <c r="CE278" s="32">
        <v>-1257507</v>
      </c>
      <c r="CF278" s="32">
        <v>-695989</v>
      </c>
      <c r="CG278" s="32">
        <v>-2360056</v>
      </c>
      <c r="CH278" s="32">
        <v>-1641578</v>
      </c>
      <c r="CI278" s="32">
        <v>-935491</v>
      </c>
      <c r="CJ278" s="32">
        <v>-436718</v>
      </c>
      <c r="CK278" s="32">
        <v>-1316995</v>
      </c>
      <c r="CL278" s="32">
        <v>-876000</v>
      </c>
      <c r="CM278" s="32">
        <v>-430911</v>
      </c>
      <c r="CN278" s="32">
        <v>-178373</v>
      </c>
      <c r="CO278" s="32">
        <v>-266320</v>
      </c>
      <c r="CP278" s="32">
        <v>-83346</v>
      </c>
      <c r="CQ278" s="32">
        <v>0</v>
      </c>
      <c r="CR278" s="32">
        <v>0</v>
      </c>
    </row>
    <row r="279" spans="66:96" ht="19" customHeight="1" x14ac:dyDescent="0.35">
      <c r="BN279" s="1" t="str">
        <f t="shared" si="17"/>
        <v>CEMIG|FLUXO DE CAIXA DAS ATIVIDADES OPERACIONAIS|CONCILIAÇÃO DO LUCRO COM O CAIXA GERADO NAS OPERAÇÕES|Reversão de valores a restituir a consumidores</v>
      </c>
      <c r="BR279" s="49" t="s">
        <v>359</v>
      </c>
      <c r="BS279" s="76">
        <v>0</v>
      </c>
      <c r="BT279" s="76">
        <v>0</v>
      </c>
      <c r="BU279" s="76">
        <v>0</v>
      </c>
      <c r="BV279" s="32">
        <v>0</v>
      </c>
      <c r="BW279" s="32">
        <v>0</v>
      </c>
      <c r="BX279" s="32">
        <v>0</v>
      </c>
      <c r="BY279" s="32">
        <v>-410626</v>
      </c>
      <c r="BZ279" s="32">
        <v>-410626</v>
      </c>
      <c r="CA279" s="32">
        <v>-410626</v>
      </c>
      <c r="CB279" s="32">
        <v>0</v>
      </c>
      <c r="CC279" s="32">
        <v>0</v>
      </c>
      <c r="CD279" s="32">
        <v>0</v>
      </c>
      <c r="CE279" s="32">
        <v>0</v>
      </c>
      <c r="CF279" s="32">
        <v>0</v>
      </c>
      <c r="CG279" s="32">
        <v>0</v>
      </c>
      <c r="CH279" s="32">
        <v>0</v>
      </c>
      <c r="CI279" s="32">
        <v>0</v>
      </c>
      <c r="CJ279" s="32">
        <v>0</v>
      </c>
      <c r="CK279" s="32">
        <v>0</v>
      </c>
      <c r="CL279" s="32">
        <v>0</v>
      </c>
      <c r="CM279" s="32">
        <v>0</v>
      </c>
      <c r="CN279" s="32">
        <v>0</v>
      </c>
      <c r="CO279" s="32">
        <v>0</v>
      </c>
      <c r="CP279" s="32">
        <v>0</v>
      </c>
      <c r="CQ279" s="32">
        <v>0</v>
      </c>
      <c r="CR279" s="32">
        <v>0</v>
      </c>
    </row>
    <row r="280" spans="66:96" ht="19" customHeight="1" x14ac:dyDescent="0.35">
      <c r="BN280" s="1" t="str">
        <f t="shared" si="17"/>
        <v>CEMIG|FLUXO DE CAIXA DAS ATIVIDADES OPERACIONAIS|CONCILIAÇÃO DO LUCRO COM O CAIXA GERADO NAS OPERAÇÕES|Ganho na alienação de investimentos</v>
      </c>
      <c r="BP280" s="392"/>
      <c r="BR280" s="49" t="s">
        <v>92</v>
      </c>
      <c r="BS280" s="76">
        <v>-26191</v>
      </c>
      <c r="BT280" s="76">
        <v>0</v>
      </c>
      <c r="BU280" s="76">
        <v>-59520</v>
      </c>
      <c r="BV280" s="32">
        <v>0</v>
      </c>
      <c r="BW280" s="32">
        <v>0</v>
      </c>
      <c r="BX280" s="32">
        <v>0</v>
      </c>
      <c r="BY280" s="32">
        <v>-1616911</v>
      </c>
      <c r="BZ280" s="32">
        <v>-1616911</v>
      </c>
      <c r="CA280" s="32">
        <v>0</v>
      </c>
      <c r="CB280" s="32">
        <v>0</v>
      </c>
      <c r="CC280" s="32">
        <v>-288308</v>
      </c>
      <c r="CD280" s="32">
        <v>-30487</v>
      </c>
      <c r="CE280" s="32">
        <v>0</v>
      </c>
      <c r="CF280" s="32">
        <v>0</v>
      </c>
      <c r="CG280" s="32">
        <v>-51512</v>
      </c>
      <c r="CH280" s="32">
        <v>0</v>
      </c>
      <c r="CI280" s="32">
        <v>0</v>
      </c>
      <c r="CJ280" s="32">
        <v>0</v>
      </c>
      <c r="CK280" s="32">
        <v>0</v>
      </c>
      <c r="CL280" s="32">
        <v>0</v>
      </c>
      <c r="CM280" s="32">
        <v>0</v>
      </c>
      <c r="CN280" s="32">
        <v>0</v>
      </c>
      <c r="CO280" s="32">
        <v>0</v>
      </c>
      <c r="CP280" s="32">
        <v>0</v>
      </c>
      <c r="CQ280" s="32">
        <v>0</v>
      </c>
      <c r="CR280" s="32">
        <v>0</v>
      </c>
    </row>
    <row r="281" spans="66:96" ht="19" customHeight="1" x14ac:dyDescent="0.35">
      <c r="BN281" s="1" t="str">
        <f t="shared" si="17"/>
        <v>CEMIG|FLUXO DE CAIXA DAS ATIVIDADES OPERACIONAIS|CONCILIAÇÃO DO LUCRO COM O CAIXA GERADO NAS OPERAÇÕES|Amortização de custos de transação de empréstimos</v>
      </c>
      <c r="BP281" s="392"/>
      <c r="BR281" s="36" t="s">
        <v>360</v>
      </c>
      <c r="BS281" s="76">
        <v>18987</v>
      </c>
      <c r="BT281" s="76">
        <v>9412</v>
      </c>
      <c r="BU281" s="76">
        <v>28107</v>
      </c>
      <c r="BV281" s="32">
        <v>19410</v>
      </c>
      <c r="BW281" s="32">
        <v>12431</v>
      </c>
      <c r="BX281" s="32">
        <v>5553</v>
      </c>
      <c r="BY281" s="32">
        <v>18752</v>
      </c>
      <c r="BZ281" s="32">
        <v>12900</v>
      </c>
      <c r="CA281" s="32">
        <v>8392</v>
      </c>
      <c r="CB281" s="32">
        <v>3789</v>
      </c>
      <c r="CC281" s="32">
        <v>13908</v>
      </c>
      <c r="CD281" s="32">
        <v>9655</v>
      </c>
      <c r="CE281" s="32">
        <v>6198</v>
      </c>
      <c r="CF281" s="32">
        <v>3542</v>
      </c>
      <c r="CG281" s="32">
        <v>7422</v>
      </c>
      <c r="CH281" s="32">
        <v>5298</v>
      </c>
      <c r="CI281" s="32">
        <v>3210</v>
      </c>
      <c r="CJ281" s="32">
        <v>1600</v>
      </c>
      <c r="CK281" s="32">
        <v>20456</v>
      </c>
      <c r="CL281" s="32">
        <v>18870</v>
      </c>
      <c r="CM281" s="32">
        <v>12606</v>
      </c>
      <c r="CN281" s="32">
        <v>4137</v>
      </c>
      <c r="CO281" s="32">
        <v>15107</v>
      </c>
      <c r="CP281" s="32">
        <v>10910</v>
      </c>
      <c r="CQ281" s="32">
        <v>7101</v>
      </c>
      <c r="CR281" s="32">
        <v>3545</v>
      </c>
    </row>
    <row r="282" spans="66:96" ht="19" customHeight="1" x14ac:dyDescent="0.35">
      <c r="BN282" s="1" t="str">
        <f t="shared" si="17"/>
        <v>CEMIG|FLUXO DE CAIXA DAS ATIVIDADES OPERACIONAIS|CONCILIAÇÃO DO LUCRO COM O CAIXA GERADO NAS OPERAÇÕES|Perdas de créditos esperadas</v>
      </c>
      <c r="BP282" s="392"/>
      <c r="BR282" s="36" t="s">
        <v>82</v>
      </c>
      <c r="BS282" s="76">
        <v>-93650</v>
      </c>
      <c r="BT282" s="76">
        <v>83363</v>
      </c>
      <c r="BU282" s="76">
        <v>161421</v>
      </c>
      <c r="BV282" s="32">
        <v>114030</v>
      </c>
      <c r="BW282" s="32">
        <v>53726</v>
      </c>
      <c r="BX282" s="32">
        <v>50628</v>
      </c>
      <c r="BY282" s="32">
        <v>174801</v>
      </c>
      <c r="BZ282" s="32">
        <v>102597</v>
      </c>
      <c r="CA282" s="32">
        <v>153153</v>
      </c>
      <c r="CB282" s="32">
        <v>75853</v>
      </c>
      <c r="CC282" s="32">
        <v>174663</v>
      </c>
      <c r="CD282" s="32">
        <v>72352</v>
      </c>
      <c r="CE282" s="32">
        <v>0</v>
      </c>
      <c r="CF282" s="32">
        <v>7926</v>
      </c>
      <c r="CG282" s="32">
        <v>108731</v>
      </c>
      <c r="CH282" s="32">
        <v>0</v>
      </c>
      <c r="CI282" s="32">
        <v>0</v>
      </c>
      <c r="CJ282" s="32">
        <v>0</v>
      </c>
      <c r="CK282" s="32">
        <v>0</v>
      </c>
      <c r="CL282" s="32">
        <v>0</v>
      </c>
      <c r="CM282" s="32">
        <v>0</v>
      </c>
      <c r="CN282" s="32">
        <v>0</v>
      </c>
      <c r="CO282" s="32">
        <v>0</v>
      </c>
      <c r="CP282" s="32">
        <v>0</v>
      </c>
      <c r="CQ282" s="32">
        <v>0</v>
      </c>
      <c r="CR282" s="32">
        <v>0</v>
      </c>
    </row>
    <row r="283" spans="66:96" ht="19" customHeight="1" x14ac:dyDescent="0.35">
      <c r="BN283" s="1" t="str">
        <f t="shared" si="17"/>
        <v>CEMIG|FLUXO DE CAIXA DAS ATIVIDADES OPERACIONAIS|CONCILIAÇÃO DO LUCRO COM O CAIXA GERADO NAS OPERAÇÕES|Variação do valor justo de instrumentos financeiros derivativos – swap</v>
      </c>
      <c r="BP283" s="392"/>
      <c r="BR283" s="36" t="s">
        <v>839</v>
      </c>
      <c r="BS283" s="76">
        <v>20333</v>
      </c>
      <c r="BT283" s="76">
        <v>0</v>
      </c>
      <c r="BU283" s="76">
        <v>0</v>
      </c>
      <c r="BV283" s="32">
        <v>3234</v>
      </c>
      <c r="BW283" s="32">
        <v>0</v>
      </c>
      <c r="BX283" s="32">
        <v>0</v>
      </c>
      <c r="BY283" s="32">
        <v>-146577</v>
      </c>
      <c r="BZ283" s="32">
        <v>-125335</v>
      </c>
      <c r="CA283" s="32">
        <v>-112050</v>
      </c>
      <c r="CB283" s="32">
        <v>-42032</v>
      </c>
      <c r="CC283" s="32">
        <v>177326</v>
      </c>
      <c r="CD283" s="32">
        <v>60307</v>
      </c>
      <c r="CE283" s="32">
        <v>162735</v>
      </c>
      <c r="CF283" s="32">
        <v>12725</v>
      </c>
      <c r="CG283" s="32">
        <v>437887</v>
      </c>
      <c r="CH283" s="32">
        <v>301940</v>
      </c>
      <c r="CI283" s="32">
        <v>402027</v>
      </c>
      <c r="CJ283" s="32">
        <v>456647</v>
      </c>
      <c r="CK283" s="32">
        <v>537976</v>
      </c>
      <c r="CL283" s="32">
        <v>577129</v>
      </c>
      <c r="CM283" s="32">
        <v>612765</v>
      </c>
      <c r="CN283" s="32">
        <v>187348</v>
      </c>
      <c r="CO283" s="32">
        <v>-1752688</v>
      </c>
      <c r="CP283" s="32">
        <v>-1803611</v>
      </c>
      <c r="CQ283" s="32">
        <v>-1800960</v>
      </c>
      <c r="CR283" s="32">
        <v>-1314240</v>
      </c>
    </row>
    <row r="284" spans="66:96" ht="19" customHeight="1" x14ac:dyDescent="0.35">
      <c r="BN284" s="1" t="str">
        <f t="shared" si="17"/>
        <v>CEMIG|FLUXO DE CAIXA DAS ATIVIDADES OPERACIONAIS|CONCILIAÇÃO DO LUCRO COM O CAIXA GERADO NAS OPERAÇÕES|Conta de compensação de variação de valores de itens da “Parcela A” (CVA) e outros componentes financeiros</v>
      </c>
      <c r="BP284" s="392"/>
      <c r="BR284" s="36" t="s">
        <v>361</v>
      </c>
      <c r="BS284" s="76">
        <v>-583335</v>
      </c>
      <c r="BT284" s="76">
        <v>-369582</v>
      </c>
      <c r="BU284" s="76">
        <v>-505758</v>
      </c>
      <c r="BV284" s="32">
        <v>-310735</v>
      </c>
      <c r="BW284" s="32">
        <v>-196714</v>
      </c>
      <c r="BX284" s="32">
        <v>-126320</v>
      </c>
      <c r="BY284" s="32">
        <v>-423293</v>
      </c>
      <c r="BZ284" s="32">
        <v>-376494</v>
      </c>
      <c r="CA284" s="32">
        <v>-19119</v>
      </c>
      <c r="CB284" s="32">
        <v>-75674</v>
      </c>
      <c r="CC284" s="32">
        <v>213038</v>
      </c>
      <c r="CD284" s="32">
        <v>63572</v>
      </c>
      <c r="CE284" s="32">
        <v>143809</v>
      </c>
      <c r="CF284" s="32">
        <v>-20840</v>
      </c>
      <c r="CG284" s="32">
        <v>1146560</v>
      </c>
      <c r="CH284" s="32">
        <v>1367693</v>
      </c>
      <c r="CI284" s="32">
        <v>972040</v>
      </c>
      <c r="CJ284" s="32">
        <v>700107</v>
      </c>
      <c r="CK284" s="32">
        <v>-2146043</v>
      </c>
      <c r="CL284" s="32">
        <v>-1908899</v>
      </c>
      <c r="CM284" s="32">
        <v>-792651</v>
      </c>
      <c r="CN284" s="32">
        <v>-338907</v>
      </c>
      <c r="CO284" s="32">
        <v>-454741</v>
      </c>
      <c r="CP284" s="32">
        <v>-98844</v>
      </c>
      <c r="CQ284" s="32">
        <v>-81652</v>
      </c>
      <c r="CR284" s="32">
        <v>54602</v>
      </c>
    </row>
    <row r="285" spans="66:96" ht="19" customHeight="1" x14ac:dyDescent="0.35">
      <c r="BN285" s="1" t="str">
        <f t="shared" si="17"/>
        <v>CEMIG|FLUXO DE CAIXA DAS ATIVIDADES OPERACIONAIS|CONCILIAÇÃO DO LUCRO COM O CAIXA GERADO NAS OPERAÇÕES|Obrigações pós-emprego</v>
      </c>
      <c r="BP285" s="392"/>
      <c r="BR285" s="36" t="s">
        <v>111</v>
      </c>
      <c r="BS285" s="76">
        <v>100466</v>
      </c>
      <c r="BT285" s="76">
        <v>50233</v>
      </c>
      <c r="BU285" s="76">
        <v>-750390</v>
      </c>
      <c r="BV285" s="32">
        <v>317026</v>
      </c>
      <c r="BW285" s="32">
        <v>211729</v>
      </c>
      <c r="BX285" s="32">
        <v>102405</v>
      </c>
      <c r="BY285" s="32">
        <v>487674</v>
      </c>
      <c r="BZ285" s="32">
        <v>365865</v>
      </c>
      <c r="CA285" s="32">
        <v>243837</v>
      </c>
      <c r="CB285" s="32">
        <v>144729</v>
      </c>
      <c r="CC285" s="32">
        <v>610871</v>
      </c>
      <c r="CD285" s="32">
        <v>446853</v>
      </c>
      <c r="CE285" s="32">
        <v>275310</v>
      </c>
      <c r="CF285" s="32">
        <v>111292</v>
      </c>
      <c r="CG285" s="32">
        <v>665781</v>
      </c>
      <c r="CH285" s="32">
        <v>502558</v>
      </c>
      <c r="CI285" s="32">
        <v>335038</v>
      </c>
      <c r="CJ285" s="32">
        <v>167520</v>
      </c>
      <c r="CK285" s="32">
        <v>84798</v>
      </c>
      <c r="CL285" s="32">
        <v>375177</v>
      </c>
      <c r="CM285" s="32">
        <v>250119</v>
      </c>
      <c r="CN285" s="32">
        <v>125059</v>
      </c>
      <c r="CO285" s="32">
        <v>490953</v>
      </c>
      <c r="CP285" s="32">
        <v>368216</v>
      </c>
      <c r="CQ285" s="32">
        <v>245476</v>
      </c>
      <c r="CR285" s="32">
        <v>122738</v>
      </c>
    </row>
    <row r="286" spans="66:96" ht="19" customHeight="1" x14ac:dyDescent="0.35">
      <c r="BN286" s="1" t="str">
        <f t="shared" si="17"/>
        <v>CEMIG|FLUXO DE CAIXA DAS ATIVIDADES OPERACIONAIS|CONCILIAÇÃO DO LUCRO COM O CAIXA GERADO NAS OPERAÇÕES|Perda por redução ao valor recuperável de ativos de contrato e intangível</v>
      </c>
      <c r="BR286" s="36" t="s">
        <v>362</v>
      </c>
      <c r="BS286" s="76">
        <v>0</v>
      </c>
      <c r="BT286" s="76">
        <v>0</v>
      </c>
      <c r="BU286" s="76">
        <v>0</v>
      </c>
      <c r="BV286" s="32">
        <v>0</v>
      </c>
      <c r="BW286" s="32">
        <v>0</v>
      </c>
      <c r="BX286" s="32">
        <v>0</v>
      </c>
      <c r="BY286" s="32">
        <v>0</v>
      </c>
      <c r="BZ286" s="32">
        <v>0</v>
      </c>
      <c r="CA286" s="32">
        <v>0</v>
      </c>
      <c r="CB286" s="32">
        <v>0</v>
      </c>
      <c r="CC286" s="32">
        <v>0</v>
      </c>
      <c r="CD286" s="32">
        <v>0</v>
      </c>
      <c r="CE286" s="32">
        <v>0</v>
      </c>
      <c r="CF286" s="32">
        <v>0</v>
      </c>
      <c r="CG286" s="32">
        <v>0</v>
      </c>
      <c r="CH286" s="32">
        <v>-19197</v>
      </c>
      <c r="CI286" s="32">
        <v>-7053</v>
      </c>
      <c r="CJ286" s="32">
        <v>0</v>
      </c>
      <c r="CK286" s="32">
        <v>0</v>
      </c>
      <c r="CL286" s="32">
        <v>-3722</v>
      </c>
      <c r="CM286" s="32">
        <v>-3722</v>
      </c>
      <c r="CN286" s="32">
        <v>0</v>
      </c>
      <c r="CO286" s="32">
        <v>-12254</v>
      </c>
      <c r="CP286" s="32">
        <v>-7942</v>
      </c>
      <c r="CQ286" s="32">
        <v>-7942</v>
      </c>
      <c r="CR286" s="32">
        <v>0</v>
      </c>
    </row>
    <row r="287" spans="66:96" ht="19" customHeight="1" x14ac:dyDescent="0.35">
      <c r="BN287" s="1" t="str">
        <f t="shared" si="17"/>
        <v>CEMIG|FLUXO DE CAIXA DAS ATIVIDADES OPERACIONAIS|CONCILIAÇÃO DO LUCRO COM O CAIXA GERADO NAS OPERAÇÕES|Ganhos com repactuação do risco hidrológico - Lei 14.052/20, líquido</v>
      </c>
      <c r="BR287" s="36" t="s">
        <v>363</v>
      </c>
      <c r="BS287" s="76">
        <v>0</v>
      </c>
      <c r="BT287" s="76">
        <v>0</v>
      </c>
      <c r="BU287" s="76">
        <v>0</v>
      </c>
      <c r="BV287" s="32">
        <v>0</v>
      </c>
      <c r="BW287" s="32">
        <v>0</v>
      </c>
      <c r="BX287" s="32">
        <v>0</v>
      </c>
      <c r="BY287" s="32">
        <v>0</v>
      </c>
      <c r="BZ287" s="32">
        <v>0</v>
      </c>
      <c r="CA287" s="32">
        <v>0</v>
      </c>
      <c r="CB287" s="32">
        <v>0</v>
      </c>
      <c r="CC287" s="32">
        <v>0</v>
      </c>
      <c r="CD287" s="32">
        <v>0</v>
      </c>
      <c r="CE287" s="32">
        <v>0</v>
      </c>
      <c r="CF287" s="32">
        <v>0</v>
      </c>
      <c r="CG287" s="32">
        <v>0</v>
      </c>
      <c r="CH287" s="32">
        <v>0</v>
      </c>
      <c r="CI287" s="32">
        <v>0</v>
      </c>
      <c r="CJ287" s="32">
        <v>0</v>
      </c>
      <c r="CK287" s="32">
        <v>-1031809</v>
      </c>
      <c r="CL287" s="32">
        <v>-1031809</v>
      </c>
      <c r="CM287" s="32">
        <v>-909601</v>
      </c>
      <c r="CN287" s="32">
        <v>0</v>
      </c>
      <c r="CO287" s="32">
        <v>0</v>
      </c>
      <c r="CP287" s="32">
        <v>0</v>
      </c>
      <c r="CQ287" s="32">
        <v>0</v>
      </c>
      <c r="CR287" s="32">
        <v>0</v>
      </c>
    </row>
    <row r="288" spans="66:96" ht="19" customHeight="1" x14ac:dyDescent="0.35">
      <c r="BN288" s="1" t="str">
        <f t="shared" si="17"/>
        <v>CEMIG|FLUXO DE CAIXA DAS ATIVIDADES OPERACIONAIS|CONCILIAÇÃO DO LUCRO COM O CAIXA GERADO NAS OPERAÇÕES|Redução ao valor recuperável de ativos mantidos para venda</v>
      </c>
      <c r="BR288" s="36" t="s">
        <v>364</v>
      </c>
      <c r="BS288" s="76">
        <v>0</v>
      </c>
      <c r="BT288" s="76">
        <v>0</v>
      </c>
      <c r="BU288" s="76">
        <v>0</v>
      </c>
      <c r="BV288" s="32">
        <v>0</v>
      </c>
      <c r="BW288" s="32">
        <v>0</v>
      </c>
      <c r="BX288" s="32">
        <v>0</v>
      </c>
      <c r="BY288" s="32">
        <v>0</v>
      </c>
      <c r="BZ288" s="32">
        <v>0</v>
      </c>
      <c r="CA288" s="32">
        <v>0</v>
      </c>
      <c r="CB288" s="32">
        <v>0</v>
      </c>
      <c r="CC288" s="32">
        <v>0</v>
      </c>
      <c r="CD288" s="32">
        <v>0</v>
      </c>
      <c r="CE288" s="32">
        <v>0</v>
      </c>
      <c r="CF288" s="32">
        <v>0</v>
      </c>
      <c r="CG288" s="32">
        <v>0</v>
      </c>
      <c r="CH288" s="32">
        <v>0</v>
      </c>
      <c r="CI288" s="32">
        <v>0</v>
      </c>
      <c r="CJ288" s="32">
        <v>0</v>
      </c>
      <c r="CK288" s="32">
        <v>0</v>
      </c>
      <c r="CL288" s="32">
        <v>0</v>
      </c>
      <c r="CM288" s="32">
        <v>0</v>
      </c>
      <c r="CN288" s="32">
        <v>0</v>
      </c>
      <c r="CO288" s="32">
        <v>0</v>
      </c>
      <c r="CP288" s="32">
        <v>270267</v>
      </c>
      <c r="CQ288" s="32">
        <v>134023</v>
      </c>
      <c r="CR288" s="32">
        <v>609160</v>
      </c>
    </row>
    <row r="289" spans="66:96" ht="19" customHeight="1" x14ac:dyDescent="0.35">
      <c r="BN289" s="1" t="str">
        <f t="shared" si="17"/>
        <v>CEMIG|FLUXO DE CAIXA DAS ATIVIDADES OPERACIONAIS|CONCILIAÇÃO DO LUCRO COM O CAIXA GERADO NAS OPERAÇÕES|Efeitos da revisão tarifária periódica da RAP</v>
      </c>
      <c r="BR289" s="36" t="s">
        <v>365</v>
      </c>
      <c r="BS289" s="76">
        <v>0</v>
      </c>
      <c r="BT289" s="76">
        <v>0</v>
      </c>
      <c r="BU289" s="76">
        <v>0</v>
      </c>
      <c r="BV289" s="32">
        <v>0</v>
      </c>
      <c r="BW289" s="32">
        <v>0</v>
      </c>
      <c r="BX289" s="32">
        <v>0</v>
      </c>
      <c r="BY289" s="32">
        <v>-1675626</v>
      </c>
      <c r="BZ289" s="32">
        <v>-1675627</v>
      </c>
      <c r="CA289" s="32">
        <v>0</v>
      </c>
      <c r="CB289" s="32">
        <v>0</v>
      </c>
      <c r="CC289" s="32">
        <v>0</v>
      </c>
      <c r="CD289" s="32">
        <v>0</v>
      </c>
      <c r="CE289" s="32">
        <v>0</v>
      </c>
      <c r="CF289" s="32">
        <v>0</v>
      </c>
      <c r="CG289" s="32">
        <v>0</v>
      </c>
      <c r="CH289" s="32">
        <v>0</v>
      </c>
      <c r="CI289" s="32">
        <v>0</v>
      </c>
      <c r="CJ289" s="32">
        <v>0</v>
      </c>
      <c r="CK289" s="32">
        <v>-236627</v>
      </c>
      <c r="CL289" s="32">
        <v>-238815</v>
      </c>
      <c r="CM289" s="32">
        <v>-238815</v>
      </c>
      <c r="CN289" s="32">
        <v>-6036</v>
      </c>
      <c r="CO289" s="32">
        <v>-551852</v>
      </c>
      <c r="CP289" s="32">
        <v>-528598</v>
      </c>
      <c r="CQ289" s="32">
        <v>-528598</v>
      </c>
      <c r="CR289" s="32">
        <v>0</v>
      </c>
    </row>
    <row r="290" spans="66:96" ht="19" customHeight="1" x14ac:dyDescent="0.35">
      <c r="BN290" s="1" t="str">
        <f t="shared" si="17"/>
        <v>CEMIG|FLUXO DE CAIXA DAS ATIVIDADES OPERACIONAIS|CONCILIAÇÃO DO LUCRO COM O CAIXA GERADO NAS OPERAÇÕES|Ganho na alienação de ativo mantido para venda</v>
      </c>
      <c r="BR290" s="36" t="s">
        <v>366</v>
      </c>
      <c r="BS290" s="76">
        <v>0</v>
      </c>
      <c r="BT290" s="76">
        <v>0</v>
      </c>
      <c r="BU290" s="76">
        <v>0</v>
      </c>
      <c r="BV290" s="32">
        <v>0</v>
      </c>
      <c r="BW290" s="32">
        <v>0</v>
      </c>
      <c r="BX290" s="32">
        <v>0</v>
      </c>
      <c r="BY290" s="32">
        <v>0</v>
      </c>
      <c r="BZ290" s="32">
        <v>0</v>
      </c>
      <c r="CA290" s="32">
        <v>0</v>
      </c>
      <c r="CB290" s="32">
        <v>0</v>
      </c>
      <c r="CC290" s="32">
        <v>0</v>
      </c>
      <c r="CD290" s="32">
        <v>0</v>
      </c>
      <c r="CE290" s="32">
        <v>0</v>
      </c>
      <c r="CF290" s="32">
        <v>0</v>
      </c>
      <c r="CG290" s="32">
        <v>0</v>
      </c>
      <c r="CH290" s="32">
        <v>-6644</v>
      </c>
      <c r="CI290" s="32">
        <v>0</v>
      </c>
      <c r="CJ290" s="32">
        <v>0</v>
      </c>
      <c r="CK290" s="32">
        <v>-108550</v>
      </c>
      <c r="CL290" s="32">
        <v>-108550</v>
      </c>
      <c r="CM290" s="32">
        <v>-108550</v>
      </c>
      <c r="CN290" s="32">
        <v>-108550</v>
      </c>
      <c r="CO290" s="32">
        <v>0</v>
      </c>
      <c r="CP290" s="32">
        <v>0</v>
      </c>
      <c r="CQ290" s="32">
        <v>0</v>
      </c>
      <c r="CR290" s="32">
        <v>0</v>
      </c>
    </row>
    <row r="291" spans="66:96" ht="19" customHeight="1" x14ac:dyDescent="0.35">
      <c r="BN291" s="1" t="str">
        <f t="shared" si="17"/>
        <v>CEMIG|FLUXO DE CAIXA DAS ATIVIDADES OPERACIONAIS|CONCILIAÇÃO DO LUCRO COM O CAIXA GERADO NAS OPERAÇÕES|Provisões para contingências</v>
      </c>
      <c r="BP291" s="392"/>
      <c r="BR291" s="36" t="s">
        <v>114</v>
      </c>
      <c r="BS291" s="76">
        <v>243494</v>
      </c>
      <c r="BT291" s="76">
        <v>87708</v>
      </c>
      <c r="BU291" s="76">
        <v>655271</v>
      </c>
      <c r="BV291" s="32">
        <v>352850</v>
      </c>
      <c r="BW291" s="32">
        <v>251690</v>
      </c>
      <c r="BX291" s="32">
        <v>136141</v>
      </c>
      <c r="BY291" s="32">
        <v>-90277</v>
      </c>
      <c r="BZ291" s="32">
        <v>-241747</v>
      </c>
      <c r="CA291" s="32">
        <v>-327046</v>
      </c>
      <c r="CB291" s="32">
        <v>133768</v>
      </c>
      <c r="CC291" s="32">
        <v>419354</v>
      </c>
      <c r="CD291" s="32">
        <v>335120</v>
      </c>
      <c r="CE291" s="32">
        <v>265256</v>
      </c>
      <c r="CF291" s="32">
        <v>110866</v>
      </c>
      <c r="CG291" s="32">
        <v>324141</v>
      </c>
      <c r="CH291" s="32">
        <v>246667</v>
      </c>
      <c r="CI291" s="32">
        <v>1673697</v>
      </c>
      <c r="CJ291" s="32">
        <v>163330</v>
      </c>
      <c r="CK291" s="32">
        <v>374678</v>
      </c>
      <c r="CL291" s="32">
        <v>169496</v>
      </c>
      <c r="CM291" s="32">
        <v>93379</v>
      </c>
      <c r="CN291" s="32">
        <v>24204</v>
      </c>
      <c r="CO291" s="32">
        <v>423286</v>
      </c>
      <c r="CP291" s="32">
        <v>255123</v>
      </c>
      <c r="CQ291" s="32">
        <v>356729</v>
      </c>
      <c r="CR291" s="32">
        <v>159116</v>
      </c>
    </row>
    <row r="292" spans="66:96" ht="19" customHeight="1" x14ac:dyDescent="0.35">
      <c r="BN292" s="1" t="str">
        <f t="shared" si="17"/>
        <v>CEMIG|FLUXO DE CAIXA DAS ATIVIDADES OPERACIONAIS|CONCILIAÇÃO DO LUCRO COM O CAIXA GERADO NAS OPERAÇÕES|Outros</v>
      </c>
      <c r="BP292" s="392"/>
      <c r="BR292" s="36" t="s">
        <v>23</v>
      </c>
      <c r="BS292" s="76">
        <v>-67364</v>
      </c>
      <c r="BT292" s="76">
        <v>-17963</v>
      </c>
      <c r="BU292" s="76">
        <v>-86596</v>
      </c>
      <c r="BV292" s="32">
        <v>-6523</v>
      </c>
      <c r="BW292" s="32">
        <v>-3228</v>
      </c>
      <c r="BX292" s="32">
        <v>-1716</v>
      </c>
      <c r="BY292" s="32">
        <v>-94002</v>
      </c>
      <c r="BZ292" s="32">
        <v>-5601</v>
      </c>
      <c r="CA292" s="32">
        <v>-6841</v>
      </c>
      <c r="CB292" s="32">
        <v>-1368</v>
      </c>
      <c r="CC292" s="32">
        <v>-46727</v>
      </c>
      <c r="CD292" s="32">
        <v>2165</v>
      </c>
      <c r="CE292" s="32">
        <v>2485</v>
      </c>
      <c r="CF292" s="32">
        <v>5557</v>
      </c>
      <c r="CG292" s="32">
        <v>130038</v>
      </c>
      <c r="CH292" s="32">
        <v>118936</v>
      </c>
      <c r="CI292" s="32">
        <v>-13353</v>
      </c>
      <c r="CJ292" s="32">
        <v>-7009</v>
      </c>
      <c r="CK292" s="32">
        <v>-24051</v>
      </c>
      <c r="CL292" s="32">
        <v>-33546</v>
      </c>
      <c r="CM292" s="32">
        <v>12294</v>
      </c>
      <c r="CN292" s="32">
        <v>5218</v>
      </c>
      <c r="CO292" s="32">
        <v>57865</v>
      </c>
      <c r="CP292" s="32">
        <v>56500</v>
      </c>
      <c r="CQ292" s="32">
        <v>45211</v>
      </c>
      <c r="CR292" s="32">
        <v>1175</v>
      </c>
    </row>
    <row r="293" spans="66:96" ht="19" customHeight="1" x14ac:dyDescent="0.35">
      <c r="BR293" s="36"/>
      <c r="BS293" s="76"/>
      <c r="BT293" s="76"/>
      <c r="BU293" s="76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2"/>
    </row>
    <row r="294" spans="66:96" ht="25" customHeight="1" x14ac:dyDescent="0.35">
      <c r="BN294" s="81" t="str">
        <f>BR294</f>
        <v>(AUMENTO) REDUÇÃO DE ATIVOS</v>
      </c>
      <c r="BO294" s="81"/>
      <c r="BP294" s="81"/>
      <c r="BR294" s="42" t="s">
        <v>367</v>
      </c>
      <c r="BS294" s="52">
        <f t="shared" ref="BS294:BT294" si="18">IFERROR(SUM(BS295:BS302),0)</f>
        <v>791010</v>
      </c>
      <c r="BT294" s="52">
        <f t="shared" si="18"/>
        <v>647216</v>
      </c>
      <c r="BU294" s="52">
        <f>IFERROR(SUM(BU295:BU302),0)</f>
        <v>106302</v>
      </c>
      <c r="BV294" s="66">
        <f t="shared" ref="BV294:CR294" si="19">IFERROR(SUM(BV295:BV302),0)</f>
        <v>175358</v>
      </c>
      <c r="BW294" s="66">
        <f t="shared" si="19"/>
        <v>100419</v>
      </c>
      <c r="BX294" s="66">
        <f t="shared" si="19"/>
        <v>-64878</v>
      </c>
      <c r="BY294" s="66">
        <f t="shared" si="19"/>
        <v>606344</v>
      </c>
      <c r="BZ294" s="66">
        <f t="shared" si="19"/>
        <v>835084</v>
      </c>
      <c r="CA294" s="66">
        <f t="shared" si="19"/>
        <v>762422</v>
      </c>
      <c r="CB294" s="66">
        <f t="shared" si="19"/>
        <v>576328</v>
      </c>
      <c r="CC294" s="66">
        <f t="shared" si="19"/>
        <v>444581</v>
      </c>
      <c r="CD294" s="66">
        <f t="shared" si="19"/>
        <v>1204490</v>
      </c>
      <c r="CE294" s="66">
        <f t="shared" si="19"/>
        <v>699509</v>
      </c>
      <c r="CF294" s="66">
        <f t="shared" si="19"/>
        <v>-1026</v>
      </c>
      <c r="CG294" s="66">
        <f t="shared" si="19"/>
        <v>3127624</v>
      </c>
      <c r="CH294" s="66">
        <f t="shared" si="19"/>
        <v>1663767</v>
      </c>
      <c r="CI294" s="66">
        <f t="shared" si="19"/>
        <v>1163162</v>
      </c>
      <c r="CJ294" s="66">
        <f t="shared" si="19"/>
        <v>-72960</v>
      </c>
      <c r="CK294" s="66">
        <f t="shared" si="19"/>
        <v>1414085</v>
      </c>
      <c r="CL294" s="66">
        <f t="shared" si="19"/>
        <v>-234968</v>
      </c>
      <c r="CM294" s="66">
        <f t="shared" si="19"/>
        <v>305121</v>
      </c>
      <c r="CN294" s="66">
        <f t="shared" si="19"/>
        <v>279780</v>
      </c>
      <c r="CO294" s="66">
        <f t="shared" si="19"/>
        <v>3580407</v>
      </c>
      <c r="CP294" s="66">
        <f t="shared" si="19"/>
        <v>3451615</v>
      </c>
      <c r="CQ294" s="66">
        <f t="shared" si="19"/>
        <v>2155600</v>
      </c>
      <c r="CR294" s="66">
        <f t="shared" si="19"/>
        <v>1924217</v>
      </c>
    </row>
    <row r="295" spans="66:96" ht="19" customHeight="1" x14ac:dyDescent="0.35">
      <c r="BN295" s="1" t="str">
        <f t="shared" ref="BN295:BN302" si="20">_xlfn.CONCAT($BR$256,"|",$BR$258,"|",$BR$294,"|",BR295)</f>
        <v>CEMIG|FLUXO DE CAIXA DAS ATIVIDADES OPERACIONAIS|(AUMENTO) REDUÇÃO DE ATIVOS|Consumidores, revendedores e concessionários de energia</v>
      </c>
      <c r="BP295" s="392"/>
      <c r="BR295" s="36" t="s">
        <v>368</v>
      </c>
      <c r="BS295" s="30">
        <v>-149574</v>
      </c>
      <c r="BT295" s="30">
        <v>-36235</v>
      </c>
      <c r="BU295" s="30">
        <v>-418132</v>
      </c>
      <c r="BV295" s="32">
        <v>-125526</v>
      </c>
      <c r="BW295" s="32">
        <v>-132092</v>
      </c>
      <c r="BX295" s="32">
        <v>6382</v>
      </c>
      <c r="BY295" s="32">
        <v>-553041</v>
      </c>
      <c r="BZ295" s="32">
        <v>-65070</v>
      </c>
      <c r="CA295" s="32">
        <v>64273</v>
      </c>
      <c r="CB295" s="32">
        <v>133412</v>
      </c>
      <c r="CC295" s="32">
        <v>-838945</v>
      </c>
      <c r="CD295" s="32">
        <v>-296940</v>
      </c>
      <c r="CE295" s="32">
        <v>48297</v>
      </c>
      <c r="CF295" s="32">
        <v>-152336</v>
      </c>
      <c r="CG295" s="32">
        <v>-440188</v>
      </c>
      <c r="CH295" s="32">
        <v>-254645</v>
      </c>
      <c r="CI295" s="32">
        <v>-104043</v>
      </c>
      <c r="CJ295" s="32">
        <v>-408167</v>
      </c>
      <c r="CK295" s="32">
        <v>-90382</v>
      </c>
      <c r="CL295" s="32">
        <v>-604578</v>
      </c>
      <c r="CM295" s="32">
        <v>70863</v>
      </c>
      <c r="CN295" s="32">
        <v>39436</v>
      </c>
      <c r="CO295" s="32">
        <v>-78420</v>
      </c>
      <c r="CP295" s="32">
        <v>-54932</v>
      </c>
      <c r="CQ295" s="32">
        <v>139744</v>
      </c>
      <c r="CR295" s="32">
        <v>101211</v>
      </c>
    </row>
    <row r="296" spans="66:96" ht="19" customHeight="1" x14ac:dyDescent="0.35">
      <c r="BN296" s="1" t="str">
        <f t="shared" si="20"/>
        <v>CEMIG|FLUXO DE CAIXA DAS ATIVIDADES OPERACIONAIS|(AUMENTO) REDUÇÃO DE ATIVOS|Reembolso de subsídios tarifários</v>
      </c>
      <c r="BP296" s="392"/>
      <c r="BR296" s="36" t="s">
        <v>349</v>
      </c>
      <c r="BS296" s="30">
        <v>462497</v>
      </c>
      <c r="BT296" s="30">
        <v>393706</v>
      </c>
      <c r="BU296" s="30">
        <v>420458</v>
      </c>
      <c r="BV296" s="32">
        <v>317179</v>
      </c>
      <c r="BW296" s="32">
        <v>207966</v>
      </c>
      <c r="BX296" s="32">
        <v>0</v>
      </c>
      <c r="BY296" s="32">
        <v>0</v>
      </c>
      <c r="BZ296" s="32">
        <v>0</v>
      </c>
      <c r="CA296" s="32">
        <v>0</v>
      </c>
      <c r="CB296" s="32">
        <v>0</v>
      </c>
      <c r="CC296" s="32">
        <v>0</v>
      </c>
      <c r="CD296" s="32">
        <v>0</v>
      </c>
      <c r="CE296" s="32">
        <v>0</v>
      </c>
      <c r="CF296" s="32">
        <v>0</v>
      </c>
      <c r="CG296" s="32">
        <v>0</v>
      </c>
      <c r="CH296" s="32">
        <v>0</v>
      </c>
      <c r="CI296" s="32">
        <v>0</v>
      </c>
      <c r="CJ296" s="32">
        <v>0</v>
      </c>
      <c r="CK296" s="32">
        <v>0</v>
      </c>
      <c r="CL296" s="32">
        <v>0</v>
      </c>
      <c r="CM296" s="32">
        <v>0</v>
      </c>
      <c r="CN296" s="32">
        <v>0</v>
      </c>
      <c r="CO296" s="32">
        <v>0</v>
      </c>
      <c r="CP296" s="32">
        <v>0</v>
      </c>
      <c r="CQ296" s="32">
        <v>0</v>
      </c>
      <c r="CR296" s="32">
        <v>0</v>
      </c>
    </row>
    <row r="297" spans="66:96" ht="19" customHeight="1" x14ac:dyDescent="0.35">
      <c r="BN297" s="1" t="str">
        <f t="shared" si="20"/>
        <v>CEMIG|FLUXO DE CAIXA DAS ATIVIDADES OPERACIONAIS|(AUMENTO) REDUÇÃO DE ATIVOS|Conta de compensação de variação de valores de itens da "Parcela A" (CVA) e outros componentes financeiros</v>
      </c>
      <c r="BR297" s="36" t="s">
        <v>369</v>
      </c>
      <c r="BS297" s="30">
        <v>0</v>
      </c>
      <c r="BT297" s="30">
        <v>0</v>
      </c>
      <c r="BU297" s="30">
        <v>0</v>
      </c>
      <c r="BV297" s="32">
        <v>0</v>
      </c>
      <c r="BW297" s="32">
        <v>0</v>
      </c>
      <c r="BX297" s="32">
        <v>0</v>
      </c>
      <c r="BY297" s="32">
        <v>0</v>
      </c>
      <c r="BZ297" s="32">
        <v>0</v>
      </c>
      <c r="CA297" s="32">
        <v>0</v>
      </c>
      <c r="CB297" s="32">
        <v>0</v>
      </c>
      <c r="CC297" s="32">
        <v>0</v>
      </c>
      <c r="CD297" s="32">
        <v>0</v>
      </c>
      <c r="CE297" s="32">
        <v>0</v>
      </c>
      <c r="CF297" s="32">
        <v>0</v>
      </c>
      <c r="CG297" s="32">
        <v>190658</v>
      </c>
      <c r="CH297" s="32">
        <v>0</v>
      </c>
      <c r="CI297" s="32">
        <v>0</v>
      </c>
      <c r="CJ297" s="32">
        <v>0</v>
      </c>
      <c r="CK297" s="32">
        <v>15120</v>
      </c>
      <c r="CL297" s="32">
        <v>15121</v>
      </c>
      <c r="CM297" s="32">
        <v>15121</v>
      </c>
      <c r="CN297" s="32">
        <v>0</v>
      </c>
      <c r="CO297" s="32">
        <v>1466945</v>
      </c>
      <c r="CP297" s="32">
        <v>1343115</v>
      </c>
      <c r="CQ297" s="32">
        <v>62771</v>
      </c>
      <c r="CR297" s="32">
        <v>62771</v>
      </c>
    </row>
    <row r="298" spans="66:96" ht="19" customHeight="1" x14ac:dyDescent="0.35">
      <c r="BN298" s="1" t="str">
        <f t="shared" si="20"/>
        <v>CEMIG|FLUXO DE CAIXA DAS ATIVIDADES OPERACIONAIS|(AUMENTO) REDUÇÃO DE ATIVOS|Tributos a recuperar</v>
      </c>
      <c r="BP298" s="392"/>
      <c r="BR298" s="36" t="s">
        <v>276</v>
      </c>
      <c r="BS298" s="30">
        <v>-137306</v>
      </c>
      <c r="BT298" s="30">
        <v>-92779</v>
      </c>
      <c r="BU298" s="30">
        <v>-158723</v>
      </c>
      <c r="BV298" s="32">
        <v>-102808</v>
      </c>
      <c r="BW298" s="32">
        <v>-94752</v>
      </c>
      <c r="BX298" s="32">
        <v>-49219</v>
      </c>
      <c r="BY298" s="32">
        <v>274534</v>
      </c>
      <c r="BZ298" s="32">
        <v>331973</v>
      </c>
      <c r="CA298" s="32">
        <v>36632</v>
      </c>
      <c r="CB298" s="32">
        <v>94752</v>
      </c>
      <c r="CC298" s="32">
        <v>174638</v>
      </c>
      <c r="CD298" s="32">
        <v>868966</v>
      </c>
      <c r="CE298" s="32">
        <v>359080</v>
      </c>
      <c r="CF298" s="32">
        <v>-104737</v>
      </c>
      <c r="CG298" s="32">
        <v>2490079</v>
      </c>
      <c r="CH298" s="32">
        <v>997234</v>
      </c>
      <c r="CI298" s="32">
        <v>514199</v>
      </c>
      <c r="CJ298" s="32">
        <v>259715</v>
      </c>
      <c r="CK298" s="32">
        <v>1667775</v>
      </c>
      <c r="CL298" s="32">
        <v>-55073</v>
      </c>
      <c r="CM298" s="32">
        <v>-23863</v>
      </c>
      <c r="CN298" s="32">
        <v>75368</v>
      </c>
      <c r="CO298" s="32">
        <v>-59383</v>
      </c>
      <c r="CP298" s="32">
        <v>-35086</v>
      </c>
      <c r="CQ298" s="32">
        <v>18144</v>
      </c>
      <c r="CR298" s="32">
        <v>-9351</v>
      </c>
    </row>
    <row r="299" spans="66:96" ht="19" customHeight="1" x14ac:dyDescent="0.35">
      <c r="BN299" s="1" t="str">
        <f t="shared" si="20"/>
        <v>CEMIG|FLUXO DE CAIXA DAS ATIVIDADES OPERACIONAIS|(AUMENTO) REDUÇÃO DE ATIVOS|Imposto de renda e contribuição social a recuperar</v>
      </c>
      <c r="BP299" s="392"/>
      <c r="BR299" s="36" t="s">
        <v>277</v>
      </c>
      <c r="BS299" s="30">
        <v>-6067</v>
      </c>
      <c r="BT299" s="30">
        <v>-3246</v>
      </c>
      <c r="BU299" s="30">
        <v>-232708</v>
      </c>
      <c r="BV299" s="32">
        <v>-154580</v>
      </c>
      <c r="BW299" s="32">
        <v>-116646</v>
      </c>
      <c r="BX299" s="32">
        <v>-216349</v>
      </c>
      <c r="BY299" s="32">
        <v>109904</v>
      </c>
      <c r="BZ299" s="32">
        <v>177610</v>
      </c>
      <c r="CA299" s="32">
        <v>236053</v>
      </c>
      <c r="CB299" s="32">
        <v>58024</v>
      </c>
      <c r="CC299" s="32">
        <v>6377</v>
      </c>
      <c r="CD299" s="32">
        <v>21625</v>
      </c>
      <c r="CE299" s="32">
        <v>-7958</v>
      </c>
      <c r="CF299" s="32">
        <v>121429</v>
      </c>
      <c r="CG299" s="32">
        <v>148672</v>
      </c>
      <c r="CH299" s="32">
        <v>248082</v>
      </c>
      <c r="CI299" s="32">
        <v>259108</v>
      </c>
      <c r="CJ299" s="32">
        <v>-148888</v>
      </c>
      <c r="CK299" s="32">
        <v>-554685</v>
      </c>
      <c r="CL299" s="32">
        <v>-35954</v>
      </c>
      <c r="CM299" s="32">
        <v>22399</v>
      </c>
      <c r="CN299" s="32">
        <v>3450</v>
      </c>
      <c r="CO299" s="32">
        <v>-162380</v>
      </c>
      <c r="CP299" s="32">
        <v>5706</v>
      </c>
      <c r="CQ299" s="32">
        <v>84987</v>
      </c>
      <c r="CR299" s="32">
        <v>116227</v>
      </c>
    </row>
    <row r="300" spans="66:96" ht="19" customHeight="1" x14ac:dyDescent="0.35">
      <c r="BN300" s="1" t="str">
        <f t="shared" si="20"/>
        <v>CEMIG|FLUXO DE CAIXA DAS ATIVIDADES OPERACIONAIS|(AUMENTO) REDUÇÃO DE ATIVOS|Depósitos vinculados a litígios</v>
      </c>
      <c r="BP300" s="392"/>
      <c r="BR300" s="36" t="s">
        <v>287</v>
      </c>
      <c r="BS300" s="30">
        <v>235142</v>
      </c>
      <c r="BT300" s="30">
        <v>117538</v>
      </c>
      <c r="BU300" s="30">
        <v>-23502</v>
      </c>
      <c r="BV300" s="32">
        <v>-27187</v>
      </c>
      <c r="BW300" s="32">
        <v>30157</v>
      </c>
      <c r="BX300" s="32">
        <v>13001</v>
      </c>
      <c r="BY300" s="32">
        <v>115709</v>
      </c>
      <c r="BZ300" s="32">
        <v>18042</v>
      </c>
      <c r="CA300" s="32">
        <v>61</v>
      </c>
      <c r="CB300" s="32">
        <v>-6254</v>
      </c>
      <c r="CC300" s="32">
        <v>45285</v>
      </c>
      <c r="CD300" s="32">
        <v>35776</v>
      </c>
      <c r="CE300" s="32">
        <v>29407</v>
      </c>
      <c r="CF300" s="32">
        <v>16716</v>
      </c>
      <c r="CG300" s="32">
        <v>30884</v>
      </c>
      <c r="CH300" s="32">
        <v>-34852</v>
      </c>
      <c r="CI300" s="32">
        <v>-30521</v>
      </c>
      <c r="CJ300" s="32">
        <v>-25595</v>
      </c>
      <c r="CK300" s="32">
        <v>-70354</v>
      </c>
      <c r="CL300" s="32">
        <v>-79400</v>
      </c>
      <c r="CM300" s="32">
        <v>-48301</v>
      </c>
      <c r="CN300" s="32">
        <v>-48164</v>
      </c>
      <c r="CO300" s="32">
        <v>1537655</v>
      </c>
      <c r="CP300" s="32">
        <v>1506112</v>
      </c>
      <c r="CQ300" s="32">
        <v>1424416</v>
      </c>
      <c r="CR300" s="32">
        <v>1419404</v>
      </c>
    </row>
    <row r="301" spans="66:96" ht="19" customHeight="1" x14ac:dyDescent="0.35">
      <c r="BN301" s="1" t="str">
        <f t="shared" si="20"/>
        <v>CEMIG|FLUXO DE CAIXA DAS ATIVIDADES OPERACIONAIS|(AUMENTO) REDUÇÃO DE ATIVOS|Ativos de contrato e financeiros da concessão</v>
      </c>
      <c r="BP301" s="392"/>
      <c r="BR301" s="36" t="s">
        <v>370</v>
      </c>
      <c r="BS301" s="30">
        <v>339672</v>
      </c>
      <c r="BT301" s="30">
        <v>173339</v>
      </c>
      <c r="BU301" s="30">
        <v>737423</v>
      </c>
      <c r="BV301" s="32">
        <v>595115</v>
      </c>
      <c r="BW301" s="32">
        <v>396981</v>
      </c>
      <c r="BX301" s="32">
        <v>278984</v>
      </c>
      <c r="BY301" s="32">
        <v>851757</v>
      </c>
      <c r="BZ301" s="32">
        <v>570049</v>
      </c>
      <c r="CA301" s="32">
        <v>515649</v>
      </c>
      <c r="CB301" s="32">
        <v>287217</v>
      </c>
      <c r="CC301" s="32">
        <v>904806</v>
      </c>
      <c r="CD301" s="32">
        <v>685665</v>
      </c>
      <c r="CE301" s="32">
        <v>428264</v>
      </c>
      <c r="CF301" s="32">
        <v>223937</v>
      </c>
      <c r="CG301" s="32">
        <v>620439</v>
      </c>
      <c r="CH301" s="32">
        <v>652218</v>
      </c>
      <c r="CI301" s="32">
        <v>475881</v>
      </c>
      <c r="CJ301" s="32">
        <v>155765</v>
      </c>
      <c r="CK301" s="32">
        <v>713641</v>
      </c>
      <c r="CL301" s="32">
        <v>593776</v>
      </c>
      <c r="CM301" s="32">
        <v>439273</v>
      </c>
      <c r="CN301" s="32">
        <v>220540</v>
      </c>
      <c r="CO301" s="32">
        <v>688104</v>
      </c>
      <c r="CP301" s="32">
        <v>536179</v>
      </c>
      <c r="CQ301" s="32">
        <v>340341</v>
      </c>
      <c r="CR301" s="32">
        <v>158756</v>
      </c>
    </row>
    <row r="302" spans="66:96" ht="19" customHeight="1" x14ac:dyDescent="0.35">
      <c r="BN302" s="1" t="str">
        <f t="shared" si="20"/>
        <v>CEMIG|FLUXO DE CAIXA DAS ATIVIDADES OPERACIONAIS|(AUMENTO) REDUÇÃO DE ATIVOS|Outros</v>
      </c>
      <c r="BP302" s="392"/>
      <c r="BR302" s="36" t="s">
        <v>23</v>
      </c>
      <c r="BS302" s="30">
        <v>46646</v>
      </c>
      <c r="BT302" s="30">
        <v>94893</v>
      </c>
      <c r="BU302" s="30">
        <v>-218514</v>
      </c>
      <c r="BV302" s="32">
        <v>-326835</v>
      </c>
      <c r="BW302" s="32">
        <v>-191195</v>
      </c>
      <c r="BX302" s="32">
        <v>-97677</v>
      </c>
      <c r="BY302" s="32">
        <v>-192519</v>
      </c>
      <c r="BZ302" s="32">
        <v>-197520</v>
      </c>
      <c r="CA302" s="32">
        <v>-90246</v>
      </c>
      <c r="CB302" s="32">
        <v>9177</v>
      </c>
      <c r="CC302" s="32">
        <v>152420</v>
      </c>
      <c r="CD302" s="32">
        <v>-110602</v>
      </c>
      <c r="CE302" s="32">
        <v>-157581</v>
      </c>
      <c r="CF302" s="32">
        <v>-106035</v>
      </c>
      <c r="CG302" s="32">
        <v>87080</v>
      </c>
      <c r="CH302" s="32">
        <v>55730</v>
      </c>
      <c r="CI302" s="32">
        <v>48538</v>
      </c>
      <c r="CJ302" s="32">
        <v>94210</v>
      </c>
      <c r="CK302" s="32">
        <v>-267030</v>
      </c>
      <c r="CL302" s="32">
        <v>-68860</v>
      </c>
      <c r="CM302" s="32">
        <v>-170371</v>
      </c>
      <c r="CN302" s="32">
        <v>-10850</v>
      </c>
      <c r="CO302" s="32">
        <v>187886</v>
      </c>
      <c r="CP302" s="32">
        <v>150521</v>
      </c>
      <c r="CQ302" s="32">
        <v>85197</v>
      </c>
      <c r="CR302" s="32">
        <v>75199</v>
      </c>
    </row>
    <row r="303" spans="66:96" ht="19" customHeight="1" x14ac:dyDescent="0.35">
      <c r="BR303" s="36"/>
      <c r="BS303" s="32"/>
      <c r="BT303" s="32"/>
      <c r="BU303" s="32"/>
      <c r="BV303" s="32"/>
      <c r="BW303" s="32"/>
      <c r="BX303" s="32"/>
      <c r="BY303" s="32"/>
      <c r="BZ303" s="32"/>
      <c r="CA303" s="32"/>
      <c r="CB303" s="32"/>
      <c r="CC303" s="32"/>
      <c r="CD303" s="32"/>
      <c r="CE303" s="32"/>
      <c r="CF303" s="32"/>
      <c r="CG303" s="32"/>
      <c r="CH303" s="32"/>
      <c r="CI303" s="32"/>
      <c r="CJ303" s="32"/>
      <c r="CK303" s="32"/>
      <c r="CL303" s="32"/>
      <c r="CM303" s="32"/>
      <c r="CN303" s="32"/>
      <c r="CO303" s="32"/>
      <c r="CP303" s="32"/>
      <c r="CQ303" s="32"/>
      <c r="CR303" s="32"/>
    </row>
    <row r="304" spans="66:96" ht="25" customHeight="1" x14ac:dyDescent="0.35">
      <c r="BN304" s="81" t="str">
        <f>BR304</f>
        <v>AUMENTO (REDUÇÃO) DE PASSIVOS</v>
      </c>
      <c r="BO304" s="81"/>
      <c r="BP304" s="81"/>
      <c r="BR304" s="42" t="s">
        <v>371</v>
      </c>
      <c r="BS304" s="52">
        <f t="shared" ref="BS304:CR304" si="21">IFERROR(SUM(BS305:BS313),0)</f>
        <v>-891004</v>
      </c>
      <c r="BT304" s="52">
        <f t="shared" si="21"/>
        <v>-27096</v>
      </c>
      <c r="BU304" s="52">
        <f t="shared" si="21"/>
        <v>-269712</v>
      </c>
      <c r="BV304" s="52">
        <f t="shared" si="21"/>
        <v>265093</v>
      </c>
      <c r="BW304" s="52">
        <f t="shared" si="21"/>
        <v>-40557</v>
      </c>
      <c r="BX304" s="52">
        <f t="shared" si="21"/>
        <v>107080</v>
      </c>
      <c r="BY304" s="52">
        <f t="shared" si="21"/>
        <v>-152268</v>
      </c>
      <c r="BZ304" s="52">
        <f t="shared" si="21"/>
        <v>50329</v>
      </c>
      <c r="CA304" s="52">
        <f t="shared" si="21"/>
        <v>-636521</v>
      </c>
      <c r="CB304" s="52">
        <f t="shared" si="21"/>
        <v>-440443</v>
      </c>
      <c r="CC304" s="52">
        <f t="shared" si="21"/>
        <v>616660</v>
      </c>
      <c r="CD304" s="52">
        <f t="shared" si="21"/>
        <v>-487697</v>
      </c>
      <c r="CE304" s="52">
        <f t="shared" si="21"/>
        <v>113269</v>
      </c>
      <c r="CF304" s="52">
        <f t="shared" si="21"/>
        <v>-69240</v>
      </c>
      <c r="CG304" s="52">
        <f t="shared" si="21"/>
        <v>-59150</v>
      </c>
      <c r="CH304" s="52">
        <f t="shared" si="21"/>
        <v>444445</v>
      </c>
      <c r="CI304" s="52">
        <f t="shared" si="21"/>
        <v>-395700</v>
      </c>
      <c r="CJ304" s="52">
        <f t="shared" si="21"/>
        <v>-300306</v>
      </c>
      <c r="CK304" s="52">
        <f t="shared" si="21"/>
        <v>1305289</v>
      </c>
      <c r="CL304" s="52">
        <f t="shared" si="21"/>
        <v>2778987</v>
      </c>
      <c r="CM304" s="52">
        <f t="shared" si="21"/>
        <v>1310178</v>
      </c>
      <c r="CN304" s="52">
        <f t="shared" si="21"/>
        <v>-131134</v>
      </c>
      <c r="CO304" s="52">
        <f t="shared" si="21"/>
        <v>1676506</v>
      </c>
      <c r="CP304" s="52">
        <f t="shared" si="21"/>
        <v>672515</v>
      </c>
      <c r="CQ304" s="52">
        <f t="shared" si="21"/>
        <v>473699</v>
      </c>
      <c r="CR304" s="52">
        <f t="shared" si="21"/>
        <v>-387398</v>
      </c>
    </row>
    <row r="305" spans="66:96" ht="19" customHeight="1" x14ac:dyDescent="0.35">
      <c r="BN305" s="1" t="str">
        <f t="shared" ref="BN305:BN313" si="22">_xlfn.CONCAT($BR$256,"|",$BR$258,"|",$BR$304,"|",BR305)</f>
        <v>CEMIG|FLUXO DE CAIXA DAS ATIVIDADES OPERACIONAIS|AUMENTO (REDUÇÃO) DE PASSIVOS|Fornecedores</v>
      </c>
      <c r="BP305" s="392"/>
      <c r="BR305" s="36" t="s">
        <v>294</v>
      </c>
      <c r="BS305" s="30">
        <v>104896</v>
      </c>
      <c r="BT305" s="30">
        <v>126008</v>
      </c>
      <c r="BU305" s="30">
        <v>87433</v>
      </c>
      <c r="BV305" s="32">
        <v>345950</v>
      </c>
      <c r="BW305" s="32">
        <v>128739</v>
      </c>
      <c r="BX305" s="32">
        <v>29770</v>
      </c>
      <c r="BY305" s="32">
        <v>-65125</v>
      </c>
      <c r="BZ305" s="32">
        <v>142829</v>
      </c>
      <c r="CA305" s="32">
        <v>-257013</v>
      </c>
      <c r="CB305" s="32">
        <v>-349649</v>
      </c>
      <c r="CC305" s="32">
        <v>184647</v>
      </c>
      <c r="CD305" s="32">
        <v>-48684</v>
      </c>
      <c r="CE305" s="32">
        <v>-339078</v>
      </c>
      <c r="CF305" s="32">
        <v>-384381</v>
      </c>
      <c r="CG305" s="32">
        <v>148706</v>
      </c>
      <c r="CH305" s="32">
        <v>57393</v>
      </c>
      <c r="CI305" s="32">
        <v>-297763</v>
      </c>
      <c r="CJ305" s="32">
        <v>-440688</v>
      </c>
      <c r="CK305" s="32">
        <v>324857</v>
      </c>
      <c r="CL305" s="32">
        <v>1012234</v>
      </c>
      <c r="CM305" s="32">
        <v>23376</v>
      </c>
      <c r="CN305" s="32">
        <v>-401546</v>
      </c>
      <c r="CO305" s="32">
        <v>278382</v>
      </c>
      <c r="CP305" s="32">
        <v>-88887</v>
      </c>
      <c r="CQ305" s="32">
        <v>-134442</v>
      </c>
      <c r="CR305" s="32">
        <v>-357166</v>
      </c>
    </row>
    <row r="306" spans="66:96" ht="19" customHeight="1" x14ac:dyDescent="0.35">
      <c r="BN306" s="1" t="str">
        <f t="shared" si="22"/>
        <v>CEMIG|FLUXO DE CAIXA DAS ATIVIDADES OPERACIONAIS|AUMENTO (REDUÇÃO) DE PASSIVOS|Impostos, taxas e contribuições</v>
      </c>
      <c r="BP306" s="392"/>
      <c r="BR306" s="36" t="s">
        <v>296</v>
      </c>
      <c r="BS306" s="30">
        <v>-123857</v>
      </c>
      <c r="BT306" s="30">
        <v>-31613</v>
      </c>
      <c r="BU306" s="30">
        <v>-216615</v>
      </c>
      <c r="BV306" s="32">
        <v>-167362</v>
      </c>
      <c r="BW306" s="32">
        <v>-82603</v>
      </c>
      <c r="BX306" s="32">
        <v>-93172</v>
      </c>
      <c r="BY306" s="32">
        <v>179756</v>
      </c>
      <c r="BZ306" s="32">
        <v>115797</v>
      </c>
      <c r="CA306" s="32">
        <v>-148610</v>
      </c>
      <c r="CB306" s="32">
        <v>-87005</v>
      </c>
      <c r="CC306" s="32">
        <v>778245</v>
      </c>
      <c r="CD306" s="32">
        <v>-99340</v>
      </c>
      <c r="CE306" s="32">
        <v>126434</v>
      </c>
      <c r="CF306" s="32">
        <v>190472</v>
      </c>
      <c r="CG306" s="32">
        <v>408073</v>
      </c>
      <c r="CH306" s="32">
        <v>174075</v>
      </c>
      <c r="CI306" s="32">
        <v>105552</v>
      </c>
      <c r="CJ306" s="32">
        <v>171815</v>
      </c>
      <c r="CK306" s="32">
        <v>5008</v>
      </c>
      <c r="CL306" s="32">
        <v>928248</v>
      </c>
      <c r="CM306" s="32">
        <v>625358</v>
      </c>
      <c r="CN306" s="32">
        <v>235181</v>
      </c>
      <c r="CO306" s="32">
        <v>823522</v>
      </c>
      <c r="CP306" s="32">
        <v>468922</v>
      </c>
      <c r="CQ306" s="32">
        <v>268294</v>
      </c>
      <c r="CR306" s="32">
        <v>-44498</v>
      </c>
    </row>
    <row r="307" spans="66:96" ht="19" customHeight="1" x14ac:dyDescent="0.35">
      <c r="BN307" s="1" t="str">
        <f t="shared" si="22"/>
        <v>CEMIG|FLUXO DE CAIXA DAS ATIVIDADES OPERACIONAIS|AUMENTO (REDUÇÃO) DE PASSIVOS|Imposto de renda e contribuição social a pagar</v>
      </c>
      <c r="BR307" s="36" t="s">
        <v>372</v>
      </c>
      <c r="BS307" s="30">
        <v>0</v>
      </c>
      <c r="BT307" s="30">
        <v>0</v>
      </c>
      <c r="BU307" s="30">
        <v>0</v>
      </c>
      <c r="BV307" s="32">
        <v>0</v>
      </c>
      <c r="BW307" s="32">
        <v>0</v>
      </c>
      <c r="BX307" s="32">
        <v>0</v>
      </c>
      <c r="BY307" s="32">
        <v>0</v>
      </c>
      <c r="BZ307" s="32">
        <v>0</v>
      </c>
      <c r="CA307" s="32">
        <v>0</v>
      </c>
      <c r="CB307" s="32">
        <v>0</v>
      </c>
      <c r="CC307" s="32">
        <v>0</v>
      </c>
      <c r="CD307" s="32">
        <v>-161515</v>
      </c>
      <c r="CE307" s="32">
        <v>435024</v>
      </c>
      <c r="CF307" s="32">
        <v>13933</v>
      </c>
      <c r="CG307" s="32">
        <v>49672</v>
      </c>
      <c r="CH307" s="32">
        <v>724793</v>
      </c>
      <c r="CI307" s="32">
        <v>397869</v>
      </c>
      <c r="CJ307" s="32">
        <v>568746</v>
      </c>
      <c r="CK307" s="32">
        <v>1206026</v>
      </c>
      <c r="CL307" s="32">
        <v>987603</v>
      </c>
      <c r="CM307" s="32">
        <v>868406</v>
      </c>
      <c r="CN307" s="32">
        <v>200177</v>
      </c>
      <c r="CO307" s="32">
        <v>689596</v>
      </c>
      <c r="CP307" s="32">
        <v>533851</v>
      </c>
      <c r="CQ307" s="32">
        <v>325781</v>
      </c>
      <c r="CR307" s="32">
        <v>107804</v>
      </c>
    </row>
    <row r="308" spans="66:96" ht="19" customHeight="1" x14ac:dyDescent="0.35">
      <c r="BN308" s="1" t="str">
        <f t="shared" si="22"/>
        <v>CEMIG|FLUXO DE CAIXA DAS ATIVIDADES OPERACIONAIS|AUMENTO (REDUÇÃO) DE PASSIVOS|Salários e contribuições sociais</v>
      </c>
      <c r="BP308" s="392"/>
      <c r="BR308" s="36" t="s">
        <v>299</v>
      </c>
      <c r="BS308" s="30">
        <v>52510</v>
      </c>
      <c r="BT308" s="30">
        <v>-14613</v>
      </c>
      <c r="BU308" s="30">
        <v>12196</v>
      </c>
      <c r="BV308" s="32">
        <v>47693</v>
      </c>
      <c r="BW308" s="32">
        <v>38387</v>
      </c>
      <c r="BX308" s="32">
        <v>-7307</v>
      </c>
      <c r="BY308" s="32">
        <v>-21334</v>
      </c>
      <c r="BZ308" s="32">
        <v>67759</v>
      </c>
      <c r="CA308" s="32">
        <v>100168</v>
      </c>
      <c r="CB308" s="32">
        <v>-7636</v>
      </c>
      <c r="CC308" s="32">
        <v>-21266</v>
      </c>
      <c r="CD308" s="32">
        <v>-13036</v>
      </c>
      <c r="CE308" s="32">
        <v>-26797</v>
      </c>
      <c r="CF308" s="32">
        <v>-28013</v>
      </c>
      <c r="CG308" s="32">
        <v>34826</v>
      </c>
      <c r="CH308" s="32">
        <v>35557</v>
      </c>
      <c r="CI308" s="32">
        <v>38782</v>
      </c>
      <c r="CJ308" s="32">
        <v>-18159</v>
      </c>
      <c r="CK308" s="32">
        <v>12434</v>
      </c>
      <c r="CL308" s="32">
        <v>20396</v>
      </c>
      <c r="CM308" s="32">
        <v>27079</v>
      </c>
      <c r="CN308" s="32">
        <v>-22307</v>
      </c>
      <c r="CO308" s="32">
        <v>12711</v>
      </c>
      <c r="CP308" s="32">
        <v>37952</v>
      </c>
      <c r="CQ308" s="32">
        <v>34029</v>
      </c>
      <c r="CR308" s="32">
        <v>-13806</v>
      </c>
    </row>
    <row r="309" spans="66:96" ht="19" customHeight="1" x14ac:dyDescent="0.35">
      <c r="BN309" s="1" t="str">
        <f t="shared" si="22"/>
        <v>CEMIG|FLUXO DE CAIXA DAS ATIVIDADES OPERACIONAIS|AUMENTO (REDUÇÃO) DE PASSIVOS|Encargos regulatórios</v>
      </c>
      <c r="BP309" s="392"/>
      <c r="BR309" s="36" t="s">
        <v>295</v>
      </c>
      <c r="BS309" s="30">
        <v>-3429</v>
      </c>
      <c r="BT309" s="30">
        <v>8100</v>
      </c>
      <c r="BU309" s="30">
        <v>73679</v>
      </c>
      <c r="BV309" s="32">
        <v>120551</v>
      </c>
      <c r="BW309" s="32">
        <v>75614</v>
      </c>
      <c r="BX309" s="32">
        <v>15175</v>
      </c>
      <c r="BY309" s="32">
        <v>-61764</v>
      </c>
      <c r="BZ309" s="32">
        <v>-17487</v>
      </c>
      <c r="CA309" s="32">
        <v>-8493</v>
      </c>
      <c r="CB309" s="32">
        <v>-9113</v>
      </c>
      <c r="CC309" s="32">
        <v>1994</v>
      </c>
      <c r="CD309" s="32">
        <v>-7862</v>
      </c>
      <c r="CE309" s="32">
        <v>11145</v>
      </c>
      <c r="CF309" s="32">
        <v>2113</v>
      </c>
      <c r="CG309" s="32">
        <v>-239711</v>
      </c>
      <c r="CH309" s="32">
        <v>-208283</v>
      </c>
      <c r="CI309" s="32">
        <v>-206941</v>
      </c>
      <c r="CJ309" s="32">
        <v>-239715</v>
      </c>
      <c r="CK309" s="32">
        <v>77965</v>
      </c>
      <c r="CL309" s="32">
        <v>105734</v>
      </c>
      <c r="CM309" s="32">
        <v>22988</v>
      </c>
      <c r="CN309" s="32">
        <v>-22769</v>
      </c>
      <c r="CO309" s="32">
        <v>132350</v>
      </c>
      <c r="CP309" s="32">
        <v>59563</v>
      </c>
      <c r="CQ309" s="32">
        <v>59626</v>
      </c>
      <c r="CR309" s="32">
        <v>19308</v>
      </c>
    </row>
    <row r="310" spans="66:96" ht="19" customHeight="1" x14ac:dyDescent="0.35">
      <c r="BN310" s="1" t="str">
        <f t="shared" si="22"/>
        <v>CEMIG|FLUXO DE CAIXA DAS ATIVIDADES OPERACIONAIS|AUMENTO (REDUÇÃO) DE PASSIVOS|Contribuições pagas de benefícios pós-emprego</v>
      </c>
      <c r="BP310" s="392"/>
      <c r="BR310" s="36" t="s">
        <v>373</v>
      </c>
      <c r="BS310" s="30">
        <v>-504104</v>
      </c>
      <c r="BT310" s="30">
        <v>-456272</v>
      </c>
      <c r="BU310" s="30">
        <v>-392777</v>
      </c>
      <c r="BV310" s="32">
        <v>-255559</v>
      </c>
      <c r="BW310" s="32">
        <v>-170043</v>
      </c>
      <c r="BX310" s="32">
        <v>-75492</v>
      </c>
      <c r="BY310" s="32">
        <v>-439311</v>
      </c>
      <c r="BZ310" s="32">
        <v>-338683</v>
      </c>
      <c r="CA310" s="32">
        <v>-257971</v>
      </c>
      <c r="CB310" s="32">
        <v>-126351</v>
      </c>
      <c r="CC310" s="32">
        <v>-535025</v>
      </c>
      <c r="CD310" s="32">
        <v>-378238</v>
      </c>
      <c r="CE310" s="32">
        <v>-248276</v>
      </c>
      <c r="CF310" s="32">
        <v>-119515</v>
      </c>
      <c r="CG310" s="32">
        <v>-481964</v>
      </c>
      <c r="CH310" s="32">
        <v>-348494</v>
      </c>
      <c r="CI310" s="32">
        <v>-228927</v>
      </c>
      <c r="CJ310" s="32">
        <v>-110912</v>
      </c>
      <c r="CK310" s="32">
        <v>-421970</v>
      </c>
      <c r="CL310" s="32">
        <v>-301615</v>
      </c>
      <c r="CM310" s="32">
        <v>-198972</v>
      </c>
      <c r="CN310" s="32">
        <v>-99583</v>
      </c>
      <c r="CO310" s="32">
        <v>-366964</v>
      </c>
      <c r="CP310" s="32">
        <v>-266683</v>
      </c>
      <c r="CQ310" s="32">
        <v>-129584</v>
      </c>
      <c r="CR310" s="32">
        <v>-87785</v>
      </c>
    </row>
    <row r="311" spans="66:96" ht="19" customHeight="1" x14ac:dyDescent="0.35">
      <c r="BN311" s="1" t="str">
        <f t="shared" si="22"/>
        <v>CEMIG|FLUXO DE CAIXA DAS ATIVIDADES OPERACIONAIS|AUMENTO (REDUÇÃO) DE PASSIVOS|Contas a pagar relacionadas a energia gerada por consumidores</v>
      </c>
      <c r="BP311" s="392"/>
      <c r="BR311" s="36" t="s">
        <v>374</v>
      </c>
      <c r="BS311" s="30">
        <v>-50883</v>
      </c>
      <c r="BT311" s="30">
        <v>42766</v>
      </c>
      <c r="BU311" s="30">
        <v>498714</v>
      </c>
      <c r="BV311" s="32">
        <v>412889</v>
      </c>
      <c r="BW311" s="32">
        <v>239640</v>
      </c>
      <c r="BX311" s="32">
        <v>183434</v>
      </c>
      <c r="BY311" s="32">
        <v>508674</v>
      </c>
      <c r="BZ311" s="32">
        <v>402449</v>
      </c>
      <c r="CA311" s="32">
        <v>185657</v>
      </c>
      <c r="CB311" s="32">
        <v>77008</v>
      </c>
      <c r="CC311" s="32">
        <v>249380</v>
      </c>
      <c r="CD311" s="32">
        <v>153116</v>
      </c>
      <c r="CE311" s="32">
        <v>0</v>
      </c>
      <c r="CF311" s="32">
        <v>108124</v>
      </c>
      <c r="CG311" s="32">
        <v>219273</v>
      </c>
      <c r="CH311" s="32">
        <v>0</v>
      </c>
      <c r="CI311" s="32">
        <v>0</v>
      </c>
      <c r="CJ311" s="32">
        <v>0</v>
      </c>
      <c r="CK311" s="32">
        <v>0</v>
      </c>
      <c r="CL311" s="32">
        <v>0</v>
      </c>
      <c r="CM311" s="32">
        <v>0</v>
      </c>
      <c r="CN311" s="32">
        <v>0</v>
      </c>
      <c r="CO311" s="32">
        <v>0</v>
      </c>
      <c r="CP311" s="32">
        <v>0</v>
      </c>
      <c r="CQ311" s="32">
        <v>0</v>
      </c>
      <c r="CR311" s="32">
        <v>0</v>
      </c>
    </row>
    <row r="312" spans="66:96" ht="19" customHeight="1" x14ac:dyDescent="0.35">
      <c r="BN312" s="1" t="str">
        <f t="shared" si="22"/>
        <v>CEMIG|FLUXO DE CAIXA DAS ATIVIDADES OPERACIONAIS|AUMENTO (REDUÇÃO) DE PASSIVOS|PIS/Pasep e Cofins a ser restituído a consumidores</v>
      </c>
      <c r="BR312" s="36" t="s">
        <v>375</v>
      </c>
      <c r="BS312" s="30">
        <v>0</v>
      </c>
      <c r="BT312" s="30">
        <v>0</v>
      </c>
      <c r="BU312" s="30">
        <v>0</v>
      </c>
      <c r="BV312" s="32">
        <v>0</v>
      </c>
      <c r="BW312" s="32">
        <v>0</v>
      </c>
      <c r="BX312" s="32">
        <v>0</v>
      </c>
      <c r="BY312" s="32">
        <v>0</v>
      </c>
      <c r="BZ312" s="32">
        <v>0</v>
      </c>
      <c r="CA312" s="32">
        <v>-373</v>
      </c>
      <c r="CB312" s="32">
        <v>0</v>
      </c>
      <c r="CC312" s="32">
        <v>0</v>
      </c>
      <c r="CD312" s="32">
        <v>138699</v>
      </c>
      <c r="CE312" s="32">
        <v>149208</v>
      </c>
      <c r="CF312" s="32">
        <v>0</v>
      </c>
      <c r="CG312" s="32">
        <v>0</v>
      </c>
      <c r="CH312" s="32">
        <v>47783</v>
      </c>
      <c r="CI312" s="32">
        <v>-83114</v>
      </c>
      <c r="CJ312" s="32">
        <v>-274135</v>
      </c>
      <c r="CK312" s="32">
        <v>0</v>
      </c>
      <c r="CL312" s="32">
        <v>0</v>
      </c>
      <c r="CM312" s="32">
        <v>0</v>
      </c>
      <c r="CN312" s="32">
        <v>0</v>
      </c>
      <c r="CO312" s="32">
        <v>0</v>
      </c>
      <c r="CP312" s="32">
        <v>0</v>
      </c>
      <c r="CQ312" s="32">
        <v>0</v>
      </c>
      <c r="CR312" s="32">
        <v>0</v>
      </c>
    </row>
    <row r="313" spans="66:96" ht="19" customHeight="1" x14ac:dyDescent="0.35">
      <c r="BN313" s="1" t="str">
        <f t="shared" si="22"/>
        <v>CEMIG|FLUXO DE CAIXA DAS ATIVIDADES OPERACIONAIS|AUMENTO (REDUÇÃO) DE PASSIVOS|Outros</v>
      </c>
      <c r="BP313" s="392"/>
      <c r="BR313" s="36" t="s">
        <v>23</v>
      </c>
      <c r="BS313" s="30">
        <v>-366137</v>
      </c>
      <c r="BT313" s="30">
        <v>298528</v>
      </c>
      <c r="BU313" s="30">
        <v>-332342</v>
      </c>
      <c r="BV313" s="32">
        <v>-239069</v>
      </c>
      <c r="BW313" s="32">
        <v>-270291</v>
      </c>
      <c r="BX313" s="32">
        <v>54672</v>
      </c>
      <c r="BY313" s="32">
        <v>-253164</v>
      </c>
      <c r="BZ313" s="32">
        <v>-322335</v>
      </c>
      <c r="CA313" s="32">
        <v>-249886</v>
      </c>
      <c r="CB313" s="32">
        <v>62303</v>
      </c>
      <c r="CC313" s="32">
        <v>-41315</v>
      </c>
      <c r="CD313" s="32">
        <v>-70837</v>
      </c>
      <c r="CE313" s="32">
        <v>5609</v>
      </c>
      <c r="CF313" s="32">
        <v>148027</v>
      </c>
      <c r="CG313" s="32">
        <v>-198025</v>
      </c>
      <c r="CH313" s="32">
        <v>-38379</v>
      </c>
      <c r="CI313" s="32">
        <v>-121158</v>
      </c>
      <c r="CJ313" s="32">
        <v>42742</v>
      </c>
      <c r="CK313" s="32">
        <v>100969</v>
      </c>
      <c r="CL313" s="32">
        <v>26387</v>
      </c>
      <c r="CM313" s="32">
        <v>-58057</v>
      </c>
      <c r="CN313" s="32">
        <v>-20287</v>
      </c>
      <c r="CO313" s="32">
        <v>106909</v>
      </c>
      <c r="CP313" s="32">
        <v>-72203</v>
      </c>
      <c r="CQ313" s="32">
        <v>49995</v>
      </c>
      <c r="CR313" s="32">
        <v>-11255</v>
      </c>
    </row>
    <row r="314" spans="66:96" ht="19" customHeight="1" x14ac:dyDescent="0.35">
      <c r="BR314" s="36"/>
      <c r="BS314" s="32"/>
      <c r="BT314" s="32"/>
      <c r="BU314" s="32"/>
      <c r="BV314" s="32"/>
      <c r="BW314" s="32"/>
      <c r="BX314" s="32"/>
      <c r="BY314" s="32"/>
      <c r="BZ314" s="32"/>
      <c r="CA314" s="32"/>
      <c r="CB314" s="32"/>
      <c r="CC314" s="32"/>
      <c r="CD314" s="32"/>
      <c r="CE314" s="32"/>
      <c r="CF314" s="32"/>
      <c r="CG314" s="32"/>
      <c r="CH314" s="32"/>
      <c r="CI314" s="32"/>
      <c r="CJ314" s="32"/>
      <c r="CK314" s="32"/>
      <c r="CL314" s="32"/>
      <c r="CM314" s="32"/>
      <c r="CN314" s="32"/>
      <c r="CO314" s="32"/>
      <c r="CP314" s="32"/>
      <c r="CQ314" s="32"/>
      <c r="CR314" s="32"/>
    </row>
    <row r="315" spans="66:96" ht="25" customHeight="1" x14ac:dyDescent="0.35">
      <c r="BN315" s="81" t="str">
        <f>BR315</f>
        <v>CAIXA GERADO PELAS ATIVIDADES OPERACIONAIS</v>
      </c>
      <c r="BO315" s="81"/>
      <c r="BP315" s="81"/>
      <c r="BR315" s="42" t="s">
        <v>376</v>
      </c>
      <c r="BS315" s="52">
        <f t="shared" ref="BS315:CR315" si="23">IFERROR(SUM(BS304,BS294,BS261),0)</f>
        <v>2392995</v>
      </c>
      <c r="BT315" s="52">
        <f t="shared" si="23"/>
        <v>1520430</v>
      </c>
      <c r="BU315" s="52">
        <f t="shared" si="23"/>
        <v>5467000</v>
      </c>
      <c r="BV315" s="52">
        <f>IFERROR(SUM(BV304,BV294,BV261),0)</f>
        <v>4583439</v>
      </c>
      <c r="BW315" s="52">
        <f t="shared" si="23"/>
        <v>3040926</v>
      </c>
      <c r="BX315" s="52">
        <f t="shared" si="23"/>
        <v>1593746</v>
      </c>
      <c r="BY315" s="52">
        <f t="shared" si="23"/>
        <v>6457736</v>
      </c>
      <c r="BZ315" s="52">
        <f t="shared" si="23"/>
        <v>5098980</v>
      </c>
      <c r="CA315" s="52">
        <f t="shared" si="23"/>
        <v>3340238</v>
      </c>
      <c r="CB315" s="52">
        <f t="shared" si="23"/>
        <v>1671158</v>
      </c>
      <c r="CC315" s="52">
        <f t="shared" si="23"/>
        <v>7331498</v>
      </c>
      <c r="CD315" s="52">
        <f t="shared" si="23"/>
        <v>5030191</v>
      </c>
      <c r="CE315" s="52">
        <f t="shared" si="23"/>
        <v>3124212</v>
      </c>
      <c r="CF315" s="52">
        <f t="shared" si="23"/>
        <v>1060894</v>
      </c>
      <c r="CG315" s="52">
        <f t="shared" si="23"/>
        <v>7134666</v>
      </c>
      <c r="CH315" s="52">
        <f t="shared" si="23"/>
        <v>6123039</v>
      </c>
      <c r="CI315" s="52">
        <f t="shared" si="23"/>
        <v>3922135</v>
      </c>
      <c r="CJ315" s="52">
        <f t="shared" si="23"/>
        <v>1175979</v>
      </c>
      <c r="CK315" s="52">
        <f t="shared" si="23"/>
        <v>4256106</v>
      </c>
      <c r="CL315" s="52">
        <f t="shared" si="23"/>
        <v>3395407</v>
      </c>
      <c r="CM315" s="52">
        <f t="shared" si="23"/>
        <v>2602910</v>
      </c>
      <c r="CN315" s="52">
        <f t="shared" si="23"/>
        <v>950018</v>
      </c>
      <c r="CO315" s="52">
        <f t="shared" si="23"/>
        <v>9086696</v>
      </c>
      <c r="CP315" s="52">
        <f t="shared" si="23"/>
        <v>7303686</v>
      </c>
      <c r="CQ315" s="52">
        <f t="shared" si="23"/>
        <v>4688065</v>
      </c>
      <c r="CR315" s="52">
        <f t="shared" si="23"/>
        <v>2824622</v>
      </c>
    </row>
    <row r="316" spans="66:96" ht="19" customHeight="1" x14ac:dyDescent="0.35">
      <c r="BR316" s="18"/>
      <c r="BS316" s="32"/>
      <c r="BT316" s="32"/>
      <c r="BU316" s="32"/>
      <c r="BV316" s="32"/>
      <c r="BW316" s="32"/>
      <c r="BX316" s="32"/>
      <c r="BY316" s="32"/>
      <c r="BZ316" s="32"/>
      <c r="CA316" s="32"/>
      <c r="CB316" s="32"/>
      <c r="CC316" s="32"/>
      <c r="CD316" s="32"/>
      <c r="CE316" s="32"/>
      <c r="CF316" s="32"/>
      <c r="CG316" s="32"/>
      <c r="CH316" s="32"/>
      <c r="CI316" s="32"/>
      <c r="CJ316" s="32"/>
      <c r="CK316" s="32"/>
      <c r="CL316" s="32"/>
      <c r="CM316" s="32"/>
      <c r="CN316" s="32"/>
      <c r="CO316" s="32"/>
      <c r="CP316" s="32"/>
      <c r="CQ316" s="32"/>
      <c r="CR316" s="32"/>
    </row>
    <row r="317" spans="66:96" ht="19" customHeight="1" x14ac:dyDescent="0.35">
      <c r="BN317" s="1" t="str">
        <f>_xlfn.CONCAT($BR$256,"|",$BR$258,,"|",BR317)</f>
        <v>CEMIG|FLUXO DE CAIXA DAS ATIVIDADES OPERACIONAIS|Juros recebidos</v>
      </c>
      <c r="BP317" s="392"/>
      <c r="BR317" s="36" t="s">
        <v>377</v>
      </c>
      <c r="BS317" s="32">
        <v>253388</v>
      </c>
      <c r="BT317" s="32">
        <v>86574</v>
      </c>
      <c r="BU317" s="32">
        <v>471137</v>
      </c>
      <c r="BV317" s="32">
        <v>316804</v>
      </c>
      <c r="BW317" s="32">
        <v>187607</v>
      </c>
      <c r="BX317" s="32">
        <v>36700</v>
      </c>
      <c r="BY317" s="32">
        <v>351095</v>
      </c>
      <c r="BZ317" s="32">
        <v>179549</v>
      </c>
      <c r="CA317" s="32">
        <v>101344</v>
      </c>
      <c r="CB317" s="32">
        <v>45119</v>
      </c>
      <c r="CC317" s="32">
        <v>328217</v>
      </c>
      <c r="CD317" s="32">
        <v>177076</v>
      </c>
      <c r="CE317" s="32">
        <v>0</v>
      </c>
      <c r="CF317" s="32">
        <v>92340</v>
      </c>
      <c r="CG317" s="32">
        <v>290860</v>
      </c>
      <c r="CH317" s="32">
        <v>0</v>
      </c>
      <c r="CI317" s="32">
        <v>0</v>
      </c>
      <c r="CJ317" s="32">
        <v>0</v>
      </c>
      <c r="CK317" s="32">
        <v>0</v>
      </c>
      <c r="CL317" s="32">
        <v>0</v>
      </c>
      <c r="CM317" s="32">
        <v>0</v>
      </c>
      <c r="CN317" s="32">
        <v>0</v>
      </c>
      <c r="CO317" s="32">
        <v>0</v>
      </c>
      <c r="CP317" s="32">
        <v>0</v>
      </c>
      <c r="CQ317" s="32">
        <v>0</v>
      </c>
      <c r="CR317" s="32">
        <v>0</v>
      </c>
    </row>
    <row r="318" spans="66:96" ht="19" customHeight="1" x14ac:dyDescent="0.35">
      <c r="BN318" s="1" t="str">
        <f>_xlfn.CONCAT($BR$256,"|",$BR$258,,"|",BR318)</f>
        <v>CEMIG|FLUXO DE CAIXA DAS ATIVIDADES OPERACIONAIS|Dividendos e JCP recebidos</v>
      </c>
      <c r="BP318" s="392"/>
      <c r="BR318" s="36" t="s">
        <v>378</v>
      </c>
      <c r="BS318" s="32">
        <v>144716</v>
      </c>
      <c r="BT318" s="32">
        <v>65372</v>
      </c>
      <c r="BU318" s="32">
        <v>269052</v>
      </c>
      <c r="BV318" s="32">
        <v>164682</v>
      </c>
      <c r="BW318" s="32">
        <v>107723</v>
      </c>
      <c r="BX318" s="32">
        <v>45476</v>
      </c>
      <c r="BY318" s="32">
        <v>349534</v>
      </c>
      <c r="BZ318" s="32">
        <v>290508</v>
      </c>
      <c r="CA318" s="32">
        <v>212939</v>
      </c>
      <c r="CB318" s="32">
        <v>56311</v>
      </c>
      <c r="CC318" s="32">
        <v>592368</v>
      </c>
      <c r="CD318" s="32">
        <v>278906</v>
      </c>
      <c r="CE318" s="32">
        <v>204368</v>
      </c>
      <c r="CF318" s="32">
        <v>99708</v>
      </c>
      <c r="CG318" s="32">
        <v>707695</v>
      </c>
      <c r="CH318" s="32">
        <v>480332</v>
      </c>
      <c r="CI318" s="32">
        <v>181747</v>
      </c>
      <c r="CJ318" s="32">
        <v>0</v>
      </c>
      <c r="CK318" s="32">
        <v>499065</v>
      </c>
      <c r="CL318" s="32">
        <v>354136</v>
      </c>
      <c r="CM318" s="32">
        <v>324677</v>
      </c>
      <c r="CN318" s="32">
        <v>970</v>
      </c>
      <c r="CO318" s="32">
        <v>386555</v>
      </c>
      <c r="CP318" s="32">
        <v>247212</v>
      </c>
      <c r="CQ318" s="32">
        <v>169064</v>
      </c>
      <c r="CR318" s="32">
        <v>492</v>
      </c>
    </row>
    <row r="319" spans="66:96" ht="19" customHeight="1" x14ac:dyDescent="0.35">
      <c r="BN319" s="1" t="str">
        <f t="shared" ref="BN319:BN322" si="24">_xlfn.CONCAT($BR$256,"|",$BR$258,,"|",BR319)</f>
        <v>CEMIG|FLUXO DE CAIXA DAS ATIVIDADES OPERACIONAIS|Juros sobre debêntures pagos</v>
      </c>
      <c r="BP319" s="392"/>
      <c r="BR319" s="36" t="s">
        <v>379</v>
      </c>
      <c r="BS319" s="32">
        <v>-914496</v>
      </c>
      <c r="BT319" s="32">
        <v>-438460</v>
      </c>
      <c r="BU319" s="32">
        <v>-1387495</v>
      </c>
      <c r="BV319" s="32">
        <v>-991869</v>
      </c>
      <c r="BW319" s="32">
        <v>-526396</v>
      </c>
      <c r="BX319" s="32">
        <v>-218966</v>
      </c>
      <c r="BY319" s="32">
        <v>-955864</v>
      </c>
      <c r="BZ319" s="32">
        <v>-558408</v>
      </c>
      <c r="CA319" s="32">
        <v>-442424</v>
      </c>
      <c r="CB319" s="32">
        <v>-64338</v>
      </c>
      <c r="CC319" s="32">
        <v>-1026146</v>
      </c>
      <c r="CD319" s="32">
        <v>-520561</v>
      </c>
      <c r="CE319" s="32">
        <v>-476435</v>
      </c>
      <c r="CF319" s="32">
        <v>-97999</v>
      </c>
      <c r="CG319" s="32">
        <v>-1010077</v>
      </c>
      <c r="CH319" s="32">
        <v>-537616</v>
      </c>
      <c r="CI319" s="32">
        <v>-475481</v>
      </c>
      <c r="CJ319" s="32">
        <v>-140990</v>
      </c>
      <c r="CK319" s="32">
        <v>-1590268</v>
      </c>
      <c r="CL319" s="32">
        <v>-1142930</v>
      </c>
      <c r="CM319" s="32">
        <v>-638160</v>
      </c>
      <c r="CN319" s="32">
        <v>-154673</v>
      </c>
      <c r="CO319" s="32">
        <v>-1081476</v>
      </c>
      <c r="CP319" s="32">
        <v>-669538</v>
      </c>
      <c r="CQ319" s="32">
        <v>-616033</v>
      </c>
      <c r="CR319" s="32">
        <v>-200576</v>
      </c>
    </row>
    <row r="320" spans="66:96" ht="19" customHeight="1" x14ac:dyDescent="0.35">
      <c r="BN320" s="1" t="str">
        <f t="shared" si="24"/>
        <v>CEMIG|FLUXO DE CAIXA DAS ATIVIDADES OPERACIONAIS|Juros sobre arrendamentos pagos</v>
      </c>
      <c r="BP320" s="392"/>
      <c r="BR320" s="36" t="s">
        <v>380</v>
      </c>
      <c r="BS320" s="32">
        <v>-12386</v>
      </c>
      <c r="BT320" s="32">
        <v>-6413</v>
      </c>
      <c r="BU320" s="32">
        <v>-7253</v>
      </c>
      <c r="BV320" s="32">
        <v>-4914</v>
      </c>
      <c r="BW320" s="32">
        <v>-2914</v>
      </c>
      <c r="BX320" s="32">
        <v>-1285</v>
      </c>
      <c r="BY320" s="32">
        <v>-6311</v>
      </c>
      <c r="BZ320" s="32">
        <v>-4212</v>
      </c>
      <c r="CA320" s="32">
        <v>-2550</v>
      </c>
      <c r="CB320" s="32">
        <v>-1170</v>
      </c>
      <c r="CC320" s="32">
        <v>-5207</v>
      </c>
      <c r="CD320" s="32">
        <v>-2863</v>
      </c>
      <c r="CE320" s="32">
        <v>1582</v>
      </c>
      <c r="CF320" s="32">
        <v>-624</v>
      </c>
      <c r="CG320" s="32">
        <v>-3695</v>
      </c>
      <c r="CH320" s="32">
        <v>-2436</v>
      </c>
      <c r="CI320" s="32">
        <v>-1147</v>
      </c>
      <c r="CJ320" s="32">
        <v>-331</v>
      </c>
      <c r="CK320" s="32">
        <v>-2914</v>
      </c>
      <c r="CL320" s="32">
        <v>-2167</v>
      </c>
      <c r="CM320" s="32">
        <v>-1030</v>
      </c>
      <c r="CN320" s="32">
        <v>-295</v>
      </c>
      <c r="CO320" s="32">
        <v>-3704</v>
      </c>
      <c r="CP320" s="32">
        <v>-3950</v>
      </c>
      <c r="CQ320" s="32">
        <v>-1049</v>
      </c>
      <c r="CR320" s="32">
        <v>-303</v>
      </c>
    </row>
    <row r="321" spans="66:96" ht="19" customHeight="1" x14ac:dyDescent="0.35">
      <c r="BN321" s="1" t="str">
        <f t="shared" si="24"/>
        <v>CEMIG|FLUXO DE CAIXA DAS ATIVIDADES OPERACIONAIS|Imposto de renda e contribuição social pagos</v>
      </c>
      <c r="BP321" s="392"/>
      <c r="BR321" s="36" t="s">
        <v>381</v>
      </c>
      <c r="BS321" s="32">
        <v>-190056</v>
      </c>
      <c r="BT321" s="32">
        <v>-108465</v>
      </c>
      <c r="BU321" s="32">
        <v>-735907</v>
      </c>
      <c r="BV321" s="32">
        <v>-644145</v>
      </c>
      <c r="BW321" s="32">
        <v>-460775</v>
      </c>
      <c r="BX321" s="32">
        <v>-84152</v>
      </c>
      <c r="BY321" s="32">
        <v>-1135713</v>
      </c>
      <c r="BZ321" s="32">
        <v>-362578</v>
      </c>
      <c r="CA321" s="32">
        <v>-282248</v>
      </c>
      <c r="CB321" s="32">
        <v>-67680</v>
      </c>
      <c r="CC321" s="32">
        <v>-600840</v>
      </c>
      <c r="CD321" s="32">
        <v>-411944</v>
      </c>
      <c r="CE321" s="32">
        <v>-290606</v>
      </c>
      <c r="CF321" s="32">
        <v>-199756</v>
      </c>
      <c r="CG321" s="32">
        <v>-704169</v>
      </c>
      <c r="CH321" s="32">
        <v>-648587</v>
      </c>
      <c r="CI321" s="32">
        <v>-587594</v>
      </c>
      <c r="CJ321" s="32">
        <v>-57686</v>
      </c>
      <c r="CK321" s="32">
        <v>-500408</v>
      </c>
      <c r="CL321" s="32">
        <v>-456653</v>
      </c>
      <c r="CM321" s="32">
        <v>-254006</v>
      </c>
      <c r="CN321" s="32">
        <v>-30986</v>
      </c>
      <c r="CO321" s="32">
        <v>-240339</v>
      </c>
      <c r="CP321" s="32">
        <v>-221502</v>
      </c>
      <c r="CQ321" s="32">
        <v>-210325</v>
      </c>
      <c r="CR321" s="32">
        <v>-149176</v>
      </c>
    </row>
    <row r="322" spans="66:96" ht="19" customHeight="1" x14ac:dyDescent="0.35">
      <c r="BN322" s="1" t="str">
        <f t="shared" si="24"/>
        <v>CEMIG|FLUXO DE CAIXA DAS ATIVIDADES OPERACIONAIS|Liquidação de instrumentos financeiros derivativos</v>
      </c>
      <c r="BR322" s="36" t="s">
        <v>382</v>
      </c>
      <c r="BS322" s="32">
        <v>0</v>
      </c>
      <c r="BT322" s="32">
        <v>0</v>
      </c>
      <c r="BU322" s="32">
        <v>0</v>
      </c>
      <c r="BV322" s="32">
        <v>0</v>
      </c>
      <c r="BW322" s="32">
        <v>0</v>
      </c>
      <c r="BX322" s="32">
        <v>0</v>
      </c>
      <c r="BY322" s="32">
        <v>436455</v>
      </c>
      <c r="BZ322" s="32">
        <v>-6524</v>
      </c>
      <c r="CA322" s="32">
        <v>-6524</v>
      </c>
      <c r="CB322" s="32">
        <v>0</v>
      </c>
      <c r="CC322" s="32">
        <v>24388</v>
      </c>
      <c r="CD322" s="32">
        <v>172669</v>
      </c>
      <c r="CE322" s="32">
        <v>172668</v>
      </c>
      <c r="CF322" s="32">
        <v>0</v>
      </c>
      <c r="CG322" s="32">
        <v>129122</v>
      </c>
      <c r="CH322" s="32">
        <v>156184</v>
      </c>
      <c r="CI322" s="32">
        <v>-35505</v>
      </c>
      <c r="CJ322" s="32">
        <v>0</v>
      </c>
      <c r="CK322" s="32">
        <v>1021776</v>
      </c>
      <c r="CL322" s="32">
        <v>912342</v>
      </c>
      <c r="CM322" s="32">
        <v>888642</v>
      </c>
      <c r="CN322" s="32">
        <v>0</v>
      </c>
      <c r="CO322" s="32">
        <v>461375</v>
      </c>
      <c r="CP322" s="32">
        <v>177086</v>
      </c>
      <c r="CQ322" s="32">
        <v>177086</v>
      </c>
      <c r="CR322" s="32">
        <v>0</v>
      </c>
    </row>
    <row r="323" spans="66:96" ht="19" customHeight="1" x14ac:dyDescent="0.35">
      <c r="BR323" s="36"/>
      <c r="BS323" s="50"/>
      <c r="BT323" s="50"/>
      <c r="BU323" s="50"/>
      <c r="BV323" s="50"/>
      <c r="BW323" s="50"/>
      <c r="BX323" s="50"/>
      <c r="BY323" s="50"/>
      <c r="BZ323" s="50"/>
      <c r="CA323" s="50"/>
      <c r="CB323" s="50"/>
      <c r="CC323" s="50"/>
      <c r="CD323" s="50"/>
      <c r="CE323" s="50"/>
      <c r="CF323" s="50"/>
      <c r="CG323" s="50"/>
      <c r="CH323" s="50"/>
      <c r="CI323" s="50"/>
      <c r="CJ323" s="50"/>
      <c r="CK323" s="50"/>
      <c r="CL323" s="50"/>
      <c r="CM323" s="50"/>
      <c r="CN323" s="50"/>
      <c r="CO323" s="50"/>
      <c r="CP323" s="50"/>
      <c r="CQ323" s="50"/>
      <c r="CR323" s="50"/>
    </row>
    <row r="324" spans="66:96" ht="25" customHeight="1" x14ac:dyDescent="0.35">
      <c r="BN324" s="81" t="str">
        <f>BR324</f>
        <v>CAIXA LÍQUIDO GERADO PELAS ATIVIDADES OPERACIONAIS</v>
      </c>
      <c r="BO324" s="81"/>
      <c r="BP324" s="81"/>
      <c r="BR324" s="42" t="s">
        <v>383</v>
      </c>
      <c r="BS324" s="78">
        <f>IFERROR(SUM(BS315,BS317:BS322),0)</f>
        <v>1674161</v>
      </c>
      <c r="BT324" s="78">
        <f t="shared" ref="BT324:CR324" si="25">IFERROR(SUM(BT315,BT317:BT322),0)</f>
        <v>1119038</v>
      </c>
      <c r="BU324" s="78">
        <f t="shared" si="25"/>
        <v>4076534</v>
      </c>
      <c r="BV324" s="78">
        <f>IFERROR(SUM(BV315,BV317:BV322),0)</f>
        <v>3423997</v>
      </c>
      <c r="BW324" s="78">
        <f t="shared" si="25"/>
        <v>2346171</v>
      </c>
      <c r="BX324" s="78">
        <f t="shared" si="25"/>
        <v>1371519</v>
      </c>
      <c r="BY324" s="78">
        <f t="shared" si="25"/>
        <v>5496932</v>
      </c>
      <c r="BZ324" s="78">
        <f t="shared" si="25"/>
        <v>4637315</v>
      </c>
      <c r="CA324" s="78">
        <f t="shared" si="25"/>
        <v>2920775</v>
      </c>
      <c r="CB324" s="78">
        <f t="shared" si="25"/>
        <v>1639400</v>
      </c>
      <c r="CC324" s="78">
        <f t="shared" si="25"/>
        <v>6644278</v>
      </c>
      <c r="CD324" s="78">
        <f t="shared" si="25"/>
        <v>4723474</v>
      </c>
      <c r="CE324" s="78">
        <f t="shared" si="25"/>
        <v>2735789</v>
      </c>
      <c r="CF324" s="78">
        <f t="shared" si="25"/>
        <v>954563</v>
      </c>
      <c r="CG324" s="78">
        <f t="shared" si="25"/>
        <v>6544402</v>
      </c>
      <c r="CH324" s="78">
        <f t="shared" si="25"/>
        <v>5570916</v>
      </c>
      <c r="CI324" s="78">
        <f t="shared" si="25"/>
        <v>3004155</v>
      </c>
      <c r="CJ324" s="78">
        <f t="shared" si="25"/>
        <v>976972</v>
      </c>
      <c r="CK324" s="78">
        <f t="shared" si="25"/>
        <v>3683357</v>
      </c>
      <c r="CL324" s="78">
        <f t="shared" si="25"/>
        <v>3060135</v>
      </c>
      <c r="CM324" s="78">
        <f t="shared" si="25"/>
        <v>2923033</v>
      </c>
      <c r="CN324" s="78">
        <f t="shared" si="25"/>
        <v>765034</v>
      </c>
      <c r="CO324" s="78">
        <f t="shared" si="25"/>
        <v>8609107</v>
      </c>
      <c r="CP324" s="78">
        <f>IFERROR(SUM(CP315,CP317:CP322),0)</f>
        <v>6832994</v>
      </c>
      <c r="CQ324" s="78">
        <f t="shared" si="25"/>
        <v>4206808</v>
      </c>
      <c r="CR324" s="78">
        <f t="shared" si="25"/>
        <v>2475059</v>
      </c>
    </row>
    <row r="325" spans="66:96" ht="19" customHeight="1" x14ac:dyDescent="0.35">
      <c r="BN325" s="81"/>
      <c r="BO325" s="81"/>
      <c r="BP325" s="81"/>
      <c r="BR325" s="18"/>
      <c r="BS325" s="67"/>
      <c r="BT325" s="67"/>
      <c r="BU325" s="67"/>
      <c r="BV325" s="67"/>
      <c r="BW325" s="67"/>
      <c r="BX325" s="67"/>
      <c r="BY325" s="67"/>
      <c r="BZ325" s="67"/>
      <c r="CA325" s="67"/>
      <c r="CB325" s="67"/>
      <c r="CC325" s="67"/>
      <c r="CD325" s="67"/>
      <c r="CE325" s="67"/>
      <c r="CF325" s="67"/>
      <c r="CG325" s="67"/>
      <c r="CH325" s="67"/>
      <c r="CI325" s="67"/>
      <c r="CJ325" s="67"/>
      <c r="CK325" s="67"/>
      <c r="CL325" s="67"/>
      <c r="CM325" s="67"/>
      <c r="CN325" s="67"/>
      <c r="CO325" s="67"/>
      <c r="CP325" s="67"/>
      <c r="CQ325" s="67"/>
      <c r="CR325" s="67"/>
    </row>
    <row r="326" spans="66:96" ht="30" customHeight="1" x14ac:dyDescent="0.35">
      <c r="BN326" s="81" t="str">
        <f t="shared" ref="BN326" si="26">BR326</f>
        <v>FLUXO DE CAIXA DAS ATIVIDADES DE INVESTIMENTO</v>
      </c>
      <c r="BO326" s="81"/>
      <c r="BP326" s="81"/>
      <c r="BR326" s="210" t="s">
        <v>339</v>
      </c>
      <c r="BS326" s="167" t="str">
        <f t="shared" ref="BS326:CR326" si="27">BS258</f>
        <v>jun | 2026</v>
      </c>
      <c r="BT326" s="167" t="str">
        <f t="shared" si="27"/>
        <v>mar | 2026</v>
      </c>
      <c r="BU326" s="167" t="str">
        <f t="shared" si="27"/>
        <v>dez | 2025</v>
      </c>
      <c r="BV326" s="167" t="str">
        <f t="shared" si="27"/>
        <v>set | 2025</v>
      </c>
      <c r="BW326" s="167" t="str">
        <f t="shared" si="27"/>
        <v>jun | 2025</v>
      </c>
      <c r="BX326" s="167" t="str">
        <f t="shared" si="27"/>
        <v>mar | 2025</v>
      </c>
      <c r="BY326" s="167" t="str">
        <f t="shared" si="27"/>
        <v>dez | 2024</v>
      </c>
      <c r="BZ326" s="167" t="str">
        <f t="shared" si="27"/>
        <v>set | 2024</v>
      </c>
      <c r="CA326" s="167" t="str">
        <f t="shared" si="27"/>
        <v>jun | 2024</v>
      </c>
      <c r="CB326" s="167" t="str">
        <f t="shared" si="27"/>
        <v>mar | 2024</v>
      </c>
      <c r="CC326" s="167" t="str">
        <f t="shared" si="27"/>
        <v>dez | 2023</v>
      </c>
      <c r="CD326" s="167" t="str">
        <f t="shared" si="27"/>
        <v>set | 2023</v>
      </c>
      <c r="CE326" s="167" t="str">
        <f t="shared" si="27"/>
        <v>jun | 2023</v>
      </c>
      <c r="CF326" s="167" t="str">
        <f t="shared" si="27"/>
        <v>mar | 2023</v>
      </c>
      <c r="CG326" s="167" t="str">
        <f t="shared" si="27"/>
        <v>dez | 2022</v>
      </c>
      <c r="CH326" s="167" t="str">
        <f t="shared" si="27"/>
        <v>set | 2022</v>
      </c>
      <c r="CI326" s="167" t="str">
        <f t="shared" si="27"/>
        <v>jun | 2022</v>
      </c>
      <c r="CJ326" s="167" t="str">
        <f t="shared" si="27"/>
        <v>mar | 2022</v>
      </c>
      <c r="CK326" s="167" t="str">
        <f t="shared" si="27"/>
        <v>dez | 2021</v>
      </c>
      <c r="CL326" s="167" t="str">
        <f t="shared" si="27"/>
        <v>set | 2021</v>
      </c>
      <c r="CM326" s="167" t="str">
        <f t="shared" si="27"/>
        <v>jun | 2021</v>
      </c>
      <c r="CN326" s="167" t="str">
        <f t="shared" si="27"/>
        <v>mar | 2021</v>
      </c>
      <c r="CO326" s="167" t="str">
        <f t="shared" si="27"/>
        <v>dez | 2020</v>
      </c>
      <c r="CP326" s="167" t="str">
        <f t="shared" si="27"/>
        <v>set | 2020</v>
      </c>
      <c r="CQ326" s="167" t="str">
        <f t="shared" si="27"/>
        <v>jun | 2020</v>
      </c>
      <c r="CR326" s="167" t="str">
        <f t="shared" si="27"/>
        <v>mar | 2020</v>
      </c>
    </row>
    <row r="327" spans="66:96" ht="19" customHeight="1" x14ac:dyDescent="0.35">
      <c r="BN327" s="1" t="str">
        <f t="shared" ref="BN327:BN341" si="28">_xlfn.CONCAT($BR$256,"|",$BR$326,"|",BR327)</f>
        <v>CEMIG|FLUXO DE CAIXA DAS ATIVIDADES DE INVESTIMENTO|Aplicações em títulos e valores mobiliários</v>
      </c>
      <c r="BP327" s="392"/>
      <c r="BR327" s="36" t="s">
        <v>384</v>
      </c>
      <c r="BS327" s="50">
        <v>-6764594</v>
      </c>
      <c r="BT327" s="50">
        <v>-1819515</v>
      </c>
      <c r="BU327" s="50">
        <v>-17323222</v>
      </c>
      <c r="BV327" s="50">
        <v>-10785124</v>
      </c>
      <c r="BW327" s="50">
        <v>-10155781</v>
      </c>
      <c r="BX327" s="50">
        <v>-4189644</v>
      </c>
      <c r="BY327" s="50">
        <v>-16631213</v>
      </c>
      <c r="BZ327" s="50">
        <v>-13369914</v>
      </c>
      <c r="CA327" s="50">
        <v>-6275493</v>
      </c>
      <c r="CB327" s="50">
        <v>-4385619</v>
      </c>
      <c r="CC327" s="50">
        <v>-11237620</v>
      </c>
      <c r="CD327" s="50">
        <v>-9328053</v>
      </c>
      <c r="CE327" s="50">
        <v>196392</v>
      </c>
      <c r="CF327" s="50">
        <v>-3123000</v>
      </c>
      <c r="CG327" s="50">
        <v>-14152001</v>
      </c>
      <c r="CH327" s="50">
        <v>-835890</v>
      </c>
      <c r="CI327" s="50">
        <v>153206</v>
      </c>
      <c r="CJ327" s="50">
        <v>911957</v>
      </c>
      <c r="CK327" s="50">
        <v>2047952</v>
      </c>
      <c r="CL327" s="50">
        <v>1097584</v>
      </c>
      <c r="CM327" s="50">
        <v>-211416</v>
      </c>
      <c r="CN327" s="50">
        <v>1276371</v>
      </c>
      <c r="CO327" s="50">
        <v>-3368351</v>
      </c>
      <c r="CP327" s="50">
        <v>-3341925</v>
      </c>
      <c r="CQ327" s="50">
        <v>-1985217</v>
      </c>
      <c r="CR327" s="50">
        <v>-893948</v>
      </c>
    </row>
    <row r="328" spans="66:96" ht="19" customHeight="1" x14ac:dyDescent="0.35">
      <c r="BN328" s="1" t="str">
        <f t="shared" si="28"/>
        <v>CEMIG|FLUXO DE CAIXA DAS ATIVIDADES DE INVESTIMENTO|Resgates de títulos e valores mobiliários</v>
      </c>
      <c r="BP328" s="392"/>
      <c r="BR328" s="36" t="s">
        <v>385</v>
      </c>
      <c r="BS328" s="50">
        <v>6601353</v>
      </c>
      <c r="BT328" s="50">
        <v>2177063</v>
      </c>
      <c r="BU328" s="50">
        <v>17076798</v>
      </c>
      <c r="BV328" s="50">
        <v>10451341</v>
      </c>
      <c r="BW328" s="50">
        <v>9409775</v>
      </c>
      <c r="BX328" s="50">
        <v>3188921</v>
      </c>
      <c r="BY328" s="50">
        <v>16924076</v>
      </c>
      <c r="BZ328" s="50">
        <v>11082280</v>
      </c>
      <c r="CA328" s="50">
        <v>5654766</v>
      </c>
      <c r="CB328" s="50">
        <v>2788073</v>
      </c>
      <c r="CC328" s="50">
        <v>12360112</v>
      </c>
      <c r="CD328" s="50">
        <v>9436940</v>
      </c>
      <c r="CE328" s="50">
        <v>0</v>
      </c>
      <c r="CF328" s="50">
        <v>3509777</v>
      </c>
      <c r="CG328" s="50">
        <v>14420323</v>
      </c>
      <c r="CH328" s="50">
        <v>0</v>
      </c>
      <c r="CI328" s="50">
        <v>0</v>
      </c>
      <c r="CJ328" s="50">
        <v>0</v>
      </c>
      <c r="CK328" s="50">
        <v>0</v>
      </c>
      <c r="CL328" s="50">
        <v>0</v>
      </c>
      <c r="CM328" s="50">
        <v>0</v>
      </c>
      <c r="CN328" s="50">
        <v>0</v>
      </c>
      <c r="CO328" s="50">
        <v>0</v>
      </c>
      <c r="CP328" s="50">
        <v>0</v>
      </c>
      <c r="CQ328" s="50">
        <v>0</v>
      </c>
      <c r="CR328" s="50">
        <v>0</v>
      </c>
    </row>
    <row r="329" spans="66:96" ht="19" customHeight="1" x14ac:dyDescent="0.35">
      <c r="BN329" s="1" t="str">
        <f t="shared" si="28"/>
        <v>CEMIG|FLUXO DE CAIXA DAS ATIVIDADES DE INVESTIMENTO|Aplicações em fundos vinculados</v>
      </c>
      <c r="BP329" s="392"/>
      <c r="BR329" s="36" t="s">
        <v>386</v>
      </c>
      <c r="BS329" s="50">
        <v>-912303</v>
      </c>
      <c r="BT329" s="50">
        <v>-547742</v>
      </c>
      <c r="BU329" s="50">
        <v>-1098563</v>
      </c>
      <c r="BV329" s="50">
        <v>-912420</v>
      </c>
      <c r="BW329" s="50">
        <v>-1318152</v>
      </c>
      <c r="BX329" s="50">
        <v>-548876</v>
      </c>
      <c r="BY329" s="50">
        <v>-204591</v>
      </c>
      <c r="BZ329" s="50">
        <v>0</v>
      </c>
      <c r="CA329" s="50">
        <v>0</v>
      </c>
      <c r="CB329" s="50">
        <v>0</v>
      </c>
      <c r="CC329" s="50">
        <v>0</v>
      </c>
      <c r="CD329" s="50">
        <v>0</v>
      </c>
      <c r="CE329" s="50">
        <v>0</v>
      </c>
      <c r="CF329" s="50">
        <v>0</v>
      </c>
      <c r="CG329" s="50">
        <v>0</v>
      </c>
      <c r="CH329" s="50">
        <v>0</v>
      </c>
      <c r="CI329" s="50">
        <v>5366</v>
      </c>
      <c r="CJ329" s="50">
        <v>-10502</v>
      </c>
      <c r="CK329" s="50">
        <v>44479</v>
      </c>
      <c r="CL329" s="50">
        <v>20802</v>
      </c>
      <c r="CM329" s="50">
        <v>-11342</v>
      </c>
      <c r="CN329" s="50">
        <v>226</v>
      </c>
      <c r="CO329" s="50">
        <v>-51337</v>
      </c>
      <c r="CP329" s="50">
        <v>-35810</v>
      </c>
      <c r="CQ329" s="50">
        <v>-3413</v>
      </c>
      <c r="CR329" s="50">
        <v>-10397</v>
      </c>
    </row>
    <row r="330" spans="66:96" ht="19" customHeight="1" x14ac:dyDescent="0.35">
      <c r="BN330" s="1" t="str">
        <f t="shared" si="28"/>
        <v>CEMIG|FLUXO DE CAIXA DAS ATIVIDADES DE INVESTIMENTO|Resgates de fundos vinculados</v>
      </c>
      <c r="BP330" s="392"/>
      <c r="BR330" s="36" t="s">
        <v>387</v>
      </c>
      <c r="BS330" s="50">
        <v>1047607</v>
      </c>
      <c r="BT330" s="50">
        <v>2705</v>
      </c>
      <c r="BU330" s="50">
        <v>1054969</v>
      </c>
      <c r="BV330" s="50">
        <v>1050091</v>
      </c>
      <c r="BW330" s="50">
        <v>1508252</v>
      </c>
      <c r="BX330" s="50">
        <v>0</v>
      </c>
      <c r="BY330" s="50">
        <v>0</v>
      </c>
      <c r="BZ330" s="50">
        <v>0</v>
      </c>
      <c r="CA330" s="50">
        <v>0</v>
      </c>
      <c r="CB330" s="50">
        <v>0</v>
      </c>
      <c r="CC330" s="50">
        <v>0</v>
      </c>
      <c r="CD330" s="50">
        <v>0</v>
      </c>
      <c r="CE330" s="50">
        <v>0</v>
      </c>
      <c r="CF330" s="50">
        <v>0</v>
      </c>
      <c r="CG330" s="50">
        <v>0</v>
      </c>
      <c r="CH330" s="50">
        <v>0</v>
      </c>
      <c r="CI330" s="50">
        <v>0</v>
      </c>
      <c r="CJ330" s="50">
        <v>0</v>
      </c>
      <c r="CK330" s="50">
        <v>0</v>
      </c>
      <c r="CL330" s="50">
        <v>0</v>
      </c>
      <c r="CM330" s="50">
        <v>0</v>
      </c>
      <c r="CN330" s="50">
        <v>0</v>
      </c>
      <c r="CO330" s="50">
        <v>0</v>
      </c>
      <c r="CP330" s="50">
        <v>0</v>
      </c>
      <c r="CQ330" s="50">
        <v>0</v>
      </c>
      <c r="CR330" s="50">
        <v>0</v>
      </c>
    </row>
    <row r="331" spans="66:96" ht="19" customHeight="1" x14ac:dyDescent="0.35">
      <c r="BN331" s="1" t="str">
        <f t="shared" si="28"/>
        <v>CEMIG|FLUXO DE CAIXA DAS ATIVIDADES DE INVESTIMENTO|Aporte em investidas</v>
      </c>
      <c r="BP331" s="392"/>
      <c r="BR331" s="36" t="s">
        <v>388</v>
      </c>
      <c r="BS331" s="50">
        <v>-4260</v>
      </c>
      <c r="BT331" s="50">
        <v>-2312</v>
      </c>
      <c r="BU331" s="50">
        <v>-2705</v>
      </c>
      <c r="BV331" s="50">
        <v>-593</v>
      </c>
      <c r="BW331" s="50">
        <v>-593</v>
      </c>
      <c r="BX331" s="50">
        <v>-280</v>
      </c>
      <c r="BY331" s="50">
        <v>-1027</v>
      </c>
      <c r="BZ331" s="50">
        <v>-16357</v>
      </c>
      <c r="CA331" s="50">
        <v>-16358</v>
      </c>
      <c r="CB331" s="50">
        <v>-656</v>
      </c>
      <c r="CC331" s="50">
        <v>-36533</v>
      </c>
      <c r="CD331" s="50">
        <v>-36532</v>
      </c>
      <c r="CE331" s="50">
        <v>-6300</v>
      </c>
      <c r="CF331" s="50">
        <v>-6300</v>
      </c>
      <c r="CG331" s="50">
        <v>-52301</v>
      </c>
      <c r="CH331" s="50">
        <v>-27469</v>
      </c>
      <c r="CI331" s="50">
        <v>-282</v>
      </c>
      <c r="CJ331" s="50">
        <v>0</v>
      </c>
      <c r="CK331" s="50">
        <v>-56317</v>
      </c>
      <c r="CL331" s="50">
        <v>-15338</v>
      </c>
      <c r="CM331" s="50">
        <v>-14711</v>
      </c>
      <c r="CN331" s="50">
        <v>-12558</v>
      </c>
      <c r="CO331" s="50">
        <v>-120320</v>
      </c>
      <c r="CP331" s="50">
        <v>-64355</v>
      </c>
      <c r="CQ331" s="50">
        <v>-44850</v>
      </c>
      <c r="CR331" s="50">
        <v>-44775</v>
      </c>
    </row>
    <row r="332" spans="66:96" ht="19" customHeight="1" x14ac:dyDescent="0.35">
      <c r="BN332" s="1" t="str">
        <f t="shared" si="28"/>
        <v>CEMIG|FLUXO DE CAIXA DAS ATIVIDADES DE INVESTIMENTO|Alienação de investimentos</v>
      </c>
      <c r="BP332" s="392"/>
      <c r="BR332" s="36" t="s">
        <v>389</v>
      </c>
      <c r="BS332" s="50">
        <v>26191</v>
      </c>
      <c r="BT332" s="50">
        <v>0</v>
      </c>
      <c r="BU332" s="50">
        <v>1158</v>
      </c>
      <c r="BV332" s="50">
        <v>0</v>
      </c>
      <c r="BW332" s="50">
        <v>0</v>
      </c>
      <c r="BX332" s="50">
        <v>0</v>
      </c>
      <c r="BY332" s="50">
        <v>2736817</v>
      </c>
      <c r="BZ332" s="50">
        <v>2736817</v>
      </c>
      <c r="CA332" s="50">
        <v>0</v>
      </c>
      <c r="CB332" s="50">
        <v>0</v>
      </c>
      <c r="CC332" s="50">
        <v>638733</v>
      </c>
      <c r="CD332" s="50">
        <v>0</v>
      </c>
      <c r="CE332" s="50">
        <v>0</v>
      </c>
      <c r="CF332" s="50">
        <v>0</v>
      </c>
      <c r="CG332" s="50">
        <v>51512</v>
      </c>
      <c r="CH332" s="50">
        <v>6644</v>
      </c>
      <c r="CI332" s="50">
        <v>6644</v>
      </c>
      <c r="CJ332" s="50">
        <v>0</v>
      </c>
      <c r="CK332" s="50">
        <v>1366592</v>
      </c>
      <c r="CL332" s="50">
        <v>1366592</v>
      </c>
      <c r="CM332" s="50">
        <v>1366661</v>
      </c>
      <c r="CN332" s="50">
        <v>1366592</v>
      </c>
      <c r="CO332" s="50">
        <v>0</v>
      </c>
      <c r="CP332" s="50">
        <v>0</v>
      </c>
      <c r="CQ332" s="50">
        <v>0</v>
      </c>
      <c r="CR332" s="50">
        <v>0</v>
      </c>
    </row>
    <row r="333" spans="66:96" ht="19" customHeight="1" x14ac:dyDescent="0.35">
      <c r="BN333" s="1" t="str">
        <f t="shared" si="28"/>
        <v>CEMIG|FLUXO DE CAIXA DAS ATIVIDADES DE INVESTIMENTO|Alienação de ativos intangíveis</v>
      </c>
      <c r="BR333" s="36" t="s">
        <v>390</v>
      </c>
      <c r="BS333" s="50">
        <v>0</v>
      </c>
      <c r="BT333" s="50">
        <v>26191</v>
      </c>
      <c r="BU333" s="50">
        <v>92683</v>
      </c>
      <c r="BV333" s="50">
        <v>0</v>
      </c>
      <c r="BW333" s="50">
        <v>0</v>
      </c>
      <c r="BX333" s="50">
        <v>0</v>
      </c>
      <c r="BY333" s="50">
        <v>100886</v>
      </c>
      <c r="BZ333" s="50">
        <v>100886</v>
      </c>
      <c r="CA333" s="50">
        <v>100887</v>
      </c>
      <c r="CB333" s="50">
        <v>100887</v>
      </c>
      <c r="CC333" s="50">
        <v>30487</v>
      </c>
      <c r="CD333" s="50">
        <v>0</v>
      </c>
      <c r="CE333" s="50">
        <v>30487</v>
      </c>
      <c r="CF333" s="50">
        <v>30487</v>
      </c>
      <c r="CG333" s="50">
        <v>0</v>
      </c>
      <c r="CH333" s="50">
        <v>0</v>
      </c>
      <c r="CI333" s="50">
        <v>0</v>
      </c>
      <c r="CJ333" s="50">
        <v>0</v>
      </c>
      <c r="CK333" s="50">
        <v>0</v>
      </c>
      <c r="CL333" s="50">
        <v>0</v>
      </c>
      <c r="CM333" s="50">
        <v>0</v>
      </c>
      <c r="CN333" s="50">
        <v>0</v>
      </c>
      <c r="CO333" s="50">
        <v>0</v>
      </c>
      <c r="CP333" s="50">
        <v>0</v>
      </c>
      <c r="CQ333" s="50">
        <v>0</v>
      </c>
      <c r="CR333" s="50">
        <v>0</v>
      </c>
    </row>
    <row r="334" spans="66:96" ht="19" customHeight="1" x14ac:dyDescent="0.35">
      <c r="BN334" s="1" t="str">
        <f t="shared" si="28"/>
        <v>CEMIG|FLUXO DE CAIXA DAS ATIVIDADES DE INVESTIMENTO|Redução de capital social em investida</v>
      </c>
      <c r="BR334" s="36" t="s">
        <v>391</v>
      </c>
      <c r="BS334" s="50">
        <v>0</v>
      </c>
      <c r="BT334" s="50">
        <v>0</v>
      </c>
      <c r="BU334" s="50">
        <v>0</v>
      </c>
      <c r="BV334" s="50">
        <v>0</v>
      </c>
      <c r="BW334" s="50">
        <v>0</v>
      </c>
      <c r="BX334" s="50">
        <v>0</v>
      </c>
      <c r="BY334" s="50">
        <v>56832</v>
      </c>
      <c r="BZ334" s="50">
        <v>47932</v>
      </c>
      <c r="CA334" s="50">
        <v>47932</v>
      </c>
      <c r="CB334" s="50">
        <v>46476</v>
      </c>
      <c r="CC334" s="50">
        <v>0</v>
      </c>
      <c r="CD334" s="50">
        <v>30487</v>
      </c>
      <c r="CE334" s="50">
        <v>0</v>
      </c>
      <c r="CF334" s="50">
        <v>0</v>
      </c>
      <c r="CG334" s="50">
        <v>0</v>
      </c>
      <c r="CH334" s="50">
        <v>0</v>
      </c>
      <c r="CI334" s="50">
        <v>0</v>
      </c>
      <c r="CJ334" s="50">
        <v>0</v>
      </c>
      <c r="CK334" s="50">
        <v>0</v>
      </c>
      <c r="CL334" s="50">
        <v>0</v>
      </c>
      <c r="CM334" s="50">
        <v>0</v>
      </c>
      <c r="CN334" s="50">
        <v>0</v>
      </c>
      <c r="CO334" s="50">
        <v>0</v>
      </c>
      <c r="CP334" s="50">
        <v>0</v>
      </c>
      <c r="CQ334" s="50">
        <v>0</v>
      </c>
      <c r="CR334" s="50">
        <v>0</v>
      </c>
    </row>
    <row r="335" spans="66:96" ht="19" customHeight="1" x14ac:dyDescent="0.35">
      <c r="BN335" s="1" t="str">
        <f t="shared" si="28"/>
        <v>CEMIG|FLUXO DE CAIXA DAS ATIVIDADES DE INVESTIMENTO|Liquidação opção de venda</v>
      </c>
      <c r="BR335" s="36" t="s">
        <v>392</v>
      </c>
      <c r="BS335" s="50">
        <v>0</v>
      </c>
      <c r="BT335" s="50">
        <v>0</v>
      </c>
      <c r="BU335" s="50">
        <v>0</v>
      </c>
      <c r="BV335" s="50">
        <v>0</v>
      </c>
      <c r="BW335" s="50">
        <v>0</v>
      </c>
      <c r="BX335" s="50">
        <v>0</v>
      </c>
      <c r="BY335" s="50">
        <v>0</v>
      </c>
      <c r="BZ335" s="50">
        <v>0</v>
      </c>
      <c r="CA335" s="50">
        <v>0</v>
      </c>
      <c r="CB335" s="50">
        <v>0</v>
      </c>
      <c r="CC335" s="50">
        <v>-780348</v>
      </c>
      <c r="CD335" s="50">
        <v>-780348</v>
      </c>
      <c r="CE335" s="50">
        <v>-780348</v>
      </c>
      <c r="CF335" s="50">
        <v>0</v>
      </c>
      <c r="CG335" s="50">
        <v>0</v>
      </c>
      <c r="CH335" s="50">
        <v>0</v>
      </c>
      <c r="CI335" s="50">
        <v>0</v>
      </c>
      <c r="CJ335" s="50">
        <v>0</v>
      </c>
      <c r="CK335" s="50">
        <v>0</v>
      </c>
      <c r="CL335" s="50">
        <v>0</v>
      </c>
      <c r="CM335" s="50">
        <v>0</v>
      </c>
      <c r="CN335" s="50">
        <v>0</v>
      </c>
      <c r="CO335" s="50">
        <v>0</v>
      </c>
      <c r="CP335" s="50">
        <v>0</v>
      </c>
      <c r="CQ335" s="50">
        <v>0</v>
      </c>
      <c r="CR335" s="50">
        <v>0</v>
      </c>
    </row>
    <row r="336" spans="66:96" ht="19" customHeight="1" x14ac:dyDescent="0.35">
      <c r="BN336" s="1" t="str">
        <f t="shared" si="28"/>
        <v>CEMIG|FLUXO DE CAIXA DAS ATIVIDADES DE INVESTIMENTO|Caixa oriundo de combinação de negócios</v>
      </c>
      <c r="BR336" s="36" t="s">
        <v>393</v>
      </c>
      <c r="BS336" s="50">
        <v>0</v>
      </c>
      <c r="BT336" s="50">
        <v>0</v>
      </c>
      <c r="BU336" s="50">
        <v>0</v>
      </c>
      <c r="BV336" s="50">
        <v>0</v>
      </c>
      <c r="BW336" s="50">
        <v>0</v>
      </c>
      <c r="BX336" s="50">
        <v>0</v>
      </c>
      <c r="BY336" s="50">
        <v>0</v>
      </c>
      <c r="BZ336" s="50">
        <v>0</v>
      </c>
      <c r="CA336" s="50">
        <v>0</v>
      </c>
      <c r="CB336" s="50">
        <v>0</v>
      </c>
      <c r="CC336" s="50">
        <v>0</v>
      </c>
      <c r="CD336" s="50">
        <v>0</v>
      </c>
      <c r="CE336" s="50">
        <v>0</v>
      </c>
      <c r="CF336" s="50">
        <v>0</v>
      </c>
      <c r="CG336" s="50">
        <v>0</v>
      </c>
      <c r="CH336" s="50">
        <v>0</v>
      </c>
      <c r="CI336" s="50">
        <v>0</v>
      </c>
      <c r="CJ336" s="50">
        <v>0</v>
      </c>
      <c r="CK336" s="50">
        <v>155</v>
      </c>
      <c r="CL336" s="50">
        <v>0</v>
      </c>
      <c r="CM336" s="50">
        <v>0</v>
      </c>
      <c r="CN336" s="50">
        <v>0</v>
      </c>
      <c r="CO336" s="50">
        <v>27110</v>
      </c>
      <c r="CP336" s="50">
        <v>27110</v>
      </c>
      <c r="CQ336" s="50">
        <v>27110</v>
      </c>
      <c r="CR336" s="50">
        <v>27110</v>
      </c>
    </row>
    <row r="337" spans="66:96" ht="19" customHeight="1" x14ac:dyDescent="0.35">
      <c r="BN337" s="1" t="str">
        <f t="shared" si="28"/>
        <v>CEMIG|FLUXO DE CAIXA DAS ATIVIDADES DE INVESTIMENTO|Mútuo com partes relacionadas</v>
      </c>
      <c r="BP337" s="392"/>
      <c r="BR337" s="36" t="s">
        <v>324</v>
      </c>
      <c r="BS337" s="50">
        <v>0</v>
      </c>
      <c r="BT337" s="50">
        <v>0</v>
      </c>
      <c r="BU337" s="50">
        <v>0</v>
      </c>
      <c r="BV337" s="50">
        <v>0</v>
      </c>
      <c r="BW337" s="50">
        <v>0</v>
      </c>
      <c r="BX337" s="50">
        <v>0</v>
      </c>
      <c r="BY337" s="50">
        <v>0</v>
      </c>
      <c r="BZ337" s="50">
        <v>0</v>
      </c>
      <c r="CA337" s="50">
        <v>0</v>
      </c>
      <c r="CB337" s="50">
        <v>0</v>
      </c>
      <c r="CC337" s="50">
        <v>0</v>
      </c>
      <c r="CD337" s="50">
        <v>0</v>
      </c>
      <c r="CE337" s="50">
        <v>0</v>
      </c>
      <c r="CF337" s="50">
        <v>0</v>
      </c>
      <c r="CG337" s="50">
        <v>0</v>
      </c>
      <c r="CH337" s="50">
        <v>0</v>
      </c>
      <c r="CI337" s="50">
        <v>0</v>
      </c>
      <c r="CJ337" s="50">
        <v>0</v>
      </c>
      <c r="CK337" s="50">
        <v>0</v>
      </c>
      <c r="CL337" s="50">
        <v>0</v>
      </c>
      <c r="CM337" s="50">
        <v>0</v>
      </c>
      <c r="CN337" s="50">
        <v>0</v>
      </c>
      <c r="CO337" s="50">
        <v>-26500</v>
      </c>
      <c r="CP337" s="50">
        <v>-26500</v>
      </c>
      <c r="CQ337" s="50">
        <v>-26500</v>
      </c>
      <c r="CR337" s="50">
        <v>-26500</v>
      </c>
    </row>
    <row r="338" spans="66:96" ht="19" customHeight="1" x14ac:dyDescent="0.35">
      <c r="BN338" s="1" t="str">
        <f t="shared" si="28"/>
        <v>CEMIG|FLUXO DE CAIXA DAS ATIVIDADES DE INVESTIMENTO|Adição em imobilizado</v>
      </c>
      <c r="BP338" s="392"/>
      <c r="BR338" s="36" t="s">
        <v>394</v>
      </c>
      <c r="BS338" s="50">
        <v>-82075</v>
      </c>
      <c r="BT338" s="50">
        <v>-52406</v>
      </c>
      <c r="BU338" s="50">
        <v>-699182</v>
      </c>
      <c r="BV338" s="50">
        <v>-459594</v>
      </c>
      <c r="BW338" s="50">
        <v>-307229</v>
      </c>
      <c r="BX338" s="50">
        <v>-102510</v>
      </c>
      <c r="BY338" s="50">
        <v>-671323</v>
      </c>
      <c r="BZ338" s="50">
        <v>-490405</v>
      </c>
      <c r="CA338" s="50">
        <v>-275146</v>
      </c>
      <c r="CB338" s="50">
        <v>-152620</v>
      </c>
      <c r="CC338" s="50">
        <v>-1075890</v>
      </c>
      <c r="CD338" s="50">
        <v>-733509</v>
      </c>
      <c r="CE338" s="50">
        <v>-338980</v>
      </c>
      <c r="CF338" s="50">
        <v>-93295</v>
      </c>
      <c r="CG338" s="50">
        <v>-173410</v>
      </c>
      <c r="CH338" s="50">
        <v>-121502</v>
      </c>
      <c r="CI338" s="50">
        <v>-46977</v>
      </c>
      <c r="CJ338" s="50">
        <v>-12181</v>
      </c>
      <c r="CK338" s="50">
        <v>-182518</v>
      </c>
      <c r="CL338" s="50">
        <v>-104901</v>
      </c>
      <c r="CM338" s="50">
        <v>-71924</v>
      </c>
      <c r="CN338" s="50">
        <v>-27791</v>
      </c>
      <c r="CO338" s="50">
        <v>-133045</v>
      </c>
      <c r="CP338" s="50">
        <v>-94684</v>
      </c>
      <c r="CQ338" s="50">
        <v>-63225</v>
      </c>
      <c r="CR338" s="50">
        <v>-25158</v>
      </c>
    </row>
    <row r="339" spans="66:96" ht="19" customHeight="1" x14ac:dyDescent="0.35">
      <c r="BN339" s="1" t="str">
        <f t="shared" si="28"/>
        <v>CEMIG|FLUXO DE CAIXA DAS ATIVIDADES DE INVESTIMENTO|Adição em intangível</v>
      </c>
      <c r="BP339" s="392"/>
      <c r="BR339" s="36" t="s">
        <v>395</v>
      </c>
      <c r="BS339" s="50">
        <v>-64157</v>
      </c>
      <c r="BT339" s="50">
        <v>-40785</v>
      </c>
      <c r="BU339" s="50">
        <v>-378608</v>
      </c>
      <c r="BV339" s="50">
        <v>-304935</v>
      </c>
      <c r="BW339" s="50">
        <v>-70505</v>
      </c>
      <c r="BX339" s="50">
        <v>-32583</v>
      </c>
      <c r="BY339" s="50">
        <v>-248448</v>
      </c>
      <c r="BZ339" s="50">
        <v>-177296</v>
      </c>
      <c r="CA339" s="50">
        <v>-116213</v>
      </c>
      <c r="CB339" s="50">
        <v>-40735</v>
      </c>
      <c r="CC339" s="50">
        <v>-187649</v>
      </c>
      <c r="CD339" s="50">
        <v>-95977</v>
      </c>
      <c r="CE339" s="50">
        <v>-61873</v>
      </c>
      <c r="CF339" s="50">
        <v>-27222</v>
      </c>
      <c r="CG339" s="50">
        <v>-119115</v>
      </c>
      <c r="CH339" s="50">
        <v>-63602</v>
      </c>
      <c r="CI339" s="50">
        <v>-27270</v>
      </c>
      <c r="CJ339" s="50">
        <v>-14775</v>
      </c>
      <c r="CK339" s="50">
        <v>-50849</v>
      </c>
      <c r="CL339" s="50">
        <v>-23009</v>
      </c>
      <c r="CM339" s="50">
        <v>-16461</v>
      </c>
      <c r="CN339" s="50">
        <v>-9076</v>
      </c>
      <c r="CO339" s="50">
        <v>-40980</v>
      </c>
      <c r="CP339" s="50">
        <v>-28474</v>
      </c>
      <c r="CQ339" s="50">
        <v>-13514</v>
      </c>
      <c r="CR339" s="50">
        <v>-3102</v>
      </c>
    </row>
    <row r="340" spans="66:96" ht="19" customHeight="1" x14ac:dyDescent="0.35">
      <c r="BN340" s="1" t="str">
        <f t="shared" si="28"/>
        <v>CEMIG|FLUXO DE CAIXA DAS ATIVIDADES DE INVESTIMENTO|Adição em ativos de contrato – Infraestrutura de distribuição e gás</v>
      </c>
      <c r="BP340" s="392"/>
      <c r="BR340" s="36" t="s">
        <v>396</v>
      </c>
      <c r="BS340" s="50">
        <v>-2808218</v>
      </c>
      <c r="BT340" s="50">
        <v>-1313094</v>
      </c>
      <c r="BU340" s="50">
        <v>-5386242</v>
      </c>
      <c r="BV340" s="50">
        <v>-3793042</v>
      </c>
      <c r="BW340" s="50">
        <v>-2332673</v>
      </c>
      <c r="BX340" s="50">
        <v>-1077808</v>
      </c>
      <c r="BY340" s="50">
        <v>-4438739</v>
      </c>
      <c r="BZ340" s="50">
        <v>-3113700</v>
      </c>
      <c r="CA340" s="50">
        <v>-1910406</v>
      </c>
      <c r="CB340" s="50">
        <v>-842182</v>
      </c>
      <c r="CC340" s="50">
        <v>-3678536</v>
      </c>
      <c r="CD340" s="50">
        <v>-2605573</v>
      </c>
      <c r="CE340" s="50">
        <v>-1509774</v>
      </c>
      <c r="CF340" s="50">
        <v>-641225</v>
      </c>
      <c r="CG340" s="50">
        <v>-3112423</v>
      </c>
      <c r="CH340" s="50">
        <v>-2127312</v>
      </c>
      <c r="CI340" s="50">
        <v>-1094157</v>
      </c>
      <c r="CJ340" s="50">
        <v>-418905</v>
      </c>
      <c r="CK340" s="50">
        <v>-1798296</v>
      </c>
      <c r="CL340" s="50">
        <v>-1216244</v>
      </c>
      <c r="CM340" s="50">
        <v>-714542</v>
      </c>
      <c r="CN340" s="50">
        <v>-317395</v>
      </c>
      <c r="CO340" s="50">
        <v>-1363564</v>
      </c>
      <c r="CP340" s="50">
        <v>-957164</v>
      </c>
      <c r="CQ340" s="50">
        <v>-574678</v>
      </c>
      <c r="CR340" s="50">
        <v>-243336</v>
      </c>
    </row>
    <row r="341" spans="66:96" ht="19" customHeight="1" x14ac:dyDescent="0.35">
      <c r="BN341" s="1" t="str">
        <f t="shared" si="28"/>
        <v>CEMIG|FLUXO DE CAIXA DAS ATIVIDADES DE INVESTIMENTO|Aquisição de controladas, líquida de caixa</v>
      </c>
      <c r="BP341" s="392"/>
      <c r="BR341" s="36" t="s">
        <v>397</v>
      </c>
      <c r="BS341" s="50">
        <v>-189642</v>
      </c>
      <c r="BT341" s="50">
        <v>-56477</v>
      </c>
      <c r="BU341" s="50">
        <v>0</v>
      </c>
      <c r="BV341" s="50">
        <v>0</v>
      </c>
      <c r="BW341" s="50">
        <v>0</v>
      </c>
      <c r="BX341" s="50">
        <v>0</v>
      </c>
      <c r="BY341" s="50">
        <v>0</v>
      </c>
      <c r="BZ341" s="50">
        <v>0</v>
      </c>
      <c r="CA341" s="50">
        <v>0</v>
      </c>
      <c r="CB341" s="50">
        <v>0</v>
      </c>
      <c r="CC341" s="50">
        <v>0</v>
      </c>
      <c r="CD341" s="50">
        <v>0</v>
      </c>
      <c r="CE341" s="50">
        <v>0</v>
      </c>
      <c r="CF341" s="50">
        <v>0</v>
      </c>
      <c r="CG341" s="50"/>
      <c r="CH341" s="50">
        <v>0</v>
      </c>
      <c r="CI341" s="50">
        <v>0</v>
      </c>
      <c r="CJ341" s="50">
        <v>0</v>
      </c>
      <c r="CK341" s="50">
        <v>0</v>
      </c>
      <c r="CL341" s="50">
        <v>0</v>
      </c>
      <c r="CM341" s="50">
        <v>0</v>
      </c>
      <c r="CN341" s="50">
        <v>0</v>
      </c>
      <c r="CO341" s="50">
        <v>0</v>
      </c>
      <c r="CP341" s="50">
        <v>0</v>
      </c>
      <c r="CQ341" s="50">
        <v>0</v>
      </c>
      <c r="CR341" s="50">
        <v>0</v>
      </c>
    </row>
    <row r="342" spans="66:96" ht="19" customHeight="1" x14ac:dyDescent="0.35">
      <c r="BR342" s="36"/>
      <c r="BS342" s="50"/>
      <c r="BT342" s="50"/>
      <c r="BU342" s="50"/>
      <c r="BV342" s="50"/>
      <c r="BW342" s="50"/>
      <c r="BX342" s="50"/>
      <c r="BY342" s="50"/>
      <c r="BZ342" s="50"/>
      <c r="CA342" s="50"/>
      <c r="CB342" s="50"/>
      <c r="CC342" s="50"/>
      <c r="CD342" s="50"/>
      <c r="CE342" s="50"/>
      <c r="CF342" s="50"/>
      <c r="CG342" s="50"/>
      <c r="CH342" s="50"/>
      <c r="CI342" s="50"/>
      <c r="CJ342" s="50"/>
      <c r="CK342" s="50"/>
      <c r="CL342" s="50"/>
      <c r="CM342" s="50"/>
      <c r="CN342" s="50"/>
      <c r="CO342" s="50"/>
      <c r="CP342" s="50"/>
      <c r="CQ342" s="50"/>
      <c r="CR342" s="50"/>
    </row>
    <row r="343" spans="66:96" ht="25" customHeight="1" x14ac:dyDescent="0.35">
      <c r="BN343" s="81" t="str">
        <f>BR343</f>
        <v>CAIXA LÍQUIDO CONSUMIDO PELAS ATIVIDADES DE INVESTIMENTO</v>
      </c>
      <c r="BO343" s="81"/>
      <c r="BP343" s="81"/>
      <c r="BR343" s="42" t="s">
        <v>398</v>
      </c>
      <c r="BS343" s="78">
        <f>IFERROR(SUM(BS327:BS341),0)</f>
        <v>-3150098</v>
      </c>
      <c r="BT343" s="78">
        <f t="shared" ref="BT343:CQ343" si="29">IFERROR(SUM(BT327:BT341),0)</f>
        <v>-1626372</v>
      </c>
      <c r="BU343" s="78">
        <f t="shared" si="29"/>
        <v>-6662914</v>
      </c>
      <c r="BV343" s="78">
        <f t="shared" si="29"/>
        <v>-4754276</v>
      </c>
      <c r="BW343" s="78">
        <f t="shared" si="29"/>
        <v>-3266906</v>
      </c>
      <c r="BX343" s="78">
        <f t="shared" si="29"/>
        <v>-2762780</v>
      </c>
      <c r="BY343" s="78">
        <f t="shared" si="29"/>
        <v>-2376730</v>
      </c>
      <c r="BZ343" s="78">
        <f t="shared" si="29"/>
        <v>-3199757</v>
      </c>
      <c r="CA343" s="78">
        <f t="shared" si="29"/>
        <v>-2790031</v>
      </c>
      <c r="CB343" s="78">
        <f t="shared" si="29"/>
        <v>-2486376</v>
      </c>
      <c r="CC343" s="78">
        <f t="shared" si="29"/>
        <v>-3967244</v>
      </c>
      <c r="CD343" s="78">
        <f t="shared" si="29"/>
        <v>-4112565</v>
      </c>
      <c r="CE343" s="78">
        <f t="shared" si="29"/>
        <v>-2470396</v>
      </c>
      <c r="CF343" s="78">
        <f t="shared" si="29"/>
        <v>-350778</v>
      </c>
      <c r="CG343" s="78">
        <f t="shared" si="29"/>
        <v>-3137415</v>
      </c>
      <c r="CH343" s="78">
        <f t="shared" si="29"/>
        <v>-3169131</v>
      </c>
      <c r="CI343" s="78">
        <f t="shared" si="29"/>
        <v>-1003470</v>
      </c>
      <c r="CJ343" s="78">
        <f t="shared" si="29"/>
        <v>455594</v>
      </c>
      <c r="CK343" s="78">
        <f t="shared" si="29"/>
        <v>1371198</v>
      </c>
      <c r="CL343" s="78">
        <f t="shared" si="29"/>
        <v>1125486</v>
      </c>
      <c r="CM343" s="78">
        <f t="shared" si="29"/>
        <v>326265</v>
      </c>
      <c r="CN343" s="78">
        <f t="shared" si="29"/>
        <v>2276369</v>
      </c>
      <c r="CO343" s="78">
        <f t="shared" si="29"/>
        <v>-5076987</v>
      </c>
      <c r="CP343" s="78">
        <f t="shared" si="29"/>
        <v>-4521802</v>
      </c>
      <c r="CQ343" s="78">
        <f t="shared" si="29"/>
        <v>-2684287</v>
      </c>
      <c r="CR343" s="78">
        <f>IFERROR(SUM(CR327:CR341),0)</f>
        <v>-1220106</v>
      </c>
    </row>
    <row r="344" spans="66:96" ht="19" customHeight="1" x14ac:dyDescent="0.35">
      <c r="BR344" s="36"/>
      <c r="BS344" s="50"/>
      <c r="BT344" s="50"/>
      <c r="BU344" s="50"/>
      <c r="BV344" s="50"/>
      <c r="BW344" s="50"/>
      <c r="BX344" s="50"/>
      <c r="BY344" s="50"/>
      <c r="BZ344" s="50"/>
      <c r="CA344" s="50"/>
      <c r="CB344" s="50"/>
      <c r="CC344" s="50"/>
      <c r="CD344" s="50"/>
      <c r="CE344" s="50"/>
      <c r="CF344" s="50"/>
      <c r="CG344" s="50"/>
      <c r="CH344" s="50"/>
      <c r="CI344" s="50"/>
      <c r="CJ344" s="50"/>
      <c r="CK344" s="50"/>
      <c r="CL344" s="50"/>
      <c r="CM344" s="50"/>
      <c r="CN344" s="50"/>
      <c r="CO344" s="50"/>
      <c r="CP344" s="50"/>
      <c r="CQ344" s="50"/>
      <c r="CR344" s="50"/>
    </row>
    <row r="345" spans="66:96" ht="30" customHeight="1" x14ac:dyDescent="0.35">
      <c r="BN345" s="81" t="str">
        <f>BR345</f>
        <v>FLUXO DE CAIXA DAS ATIVIDADES DE FINANCIAMENTO</v>
      </c>
      <c r="BO345" s="81"/>
      <c r="BP345" s="81"/>
      <c r="BR345" s="210" t="s">
        <v>340</v>
      </c>
      <c r="BS345" s="167" t="str">
        <f t="shared" ref="BS345:CR345" si="30">BS258</f>
        <v>jun | 2026</v>
      </c>
      <c r="BT345" s="167" t="str">
        <f t="shared" si="30"/>
        <v>mar | 2026</v>
      </c>
      <c r="BU345" s="167" t="str">
        <f t="shared" si="30"/>
        <v>dez | 2025</v>
      </c>
      <c r="BV345" s="167" t="str">
        <f t="shared" si="30"/>
        <v>set | 2025</v>
      </c>
      <c r="BW345" s="167" t="str">
        <f t="shared" si="30"/>
        <v>jun | 2025</v>
      </c>
      <c r="BX345" s="167" t="str">
        <f t="shared" si="30"/>
        <v>mar | 2025</v>
      </c>
      <c r="BY345" s="167" t="str">
        <f t="shared" si="30"/>
        <v>dez | 2024</v>
      </c>
      <c r="BZ345" s="167" t="str">
        <f t="shared" si="30"/>
        <v>set | 2024</v>
      </c>
      <c r="CA345" s="167" t="str">
        <f t="shared" si="30"/>
        <v>jun | 2024</v>
      </c>
      <c r="CB345" s="167" t="str">
        <f t="shared" si="30"/>
        <v>mar | 2024</v>
      </c>
      <c r="CC345" s="167" t="str">
        <f t="shared" si="30"/>
        <v>dez | 2023</v>
      </c>
      <c r="CD345" s="167" t="str">
        <f t="shared" si="30"/>
        <v>set | 2023</v>
      </c>
      <c r="CE345" s="167" t="str">
        <f t="shared" si="30"/>
        <v>jun | 2023</v>
      </c>
      <c r="CF345" s="167" t="str">
        <f t="shared" si="30"/>
        <v>mar | 2023</v>
      </c>
      <c r="CG345" s="167" t="str">
        <f t="shared" si="30"/>
        <v>dez | 2022</v>
      </c>
      <c r="CH345" s="167" t="str">
        <f t="shared" si="30"/>
        <v>set | 2022</v>
      </c>
      <c r="CI345" s="167" t="str">
        <f t="shared" si="30"/>
        <v>jun | 2022</v>
      </c>
      <c r="CJ345" s="167" t="str">
        <f t="shared" si="30"/>
        <v>mar | 2022</v>
      </c>
      <c r="CK345" s="167" t="str">
        <f t="shared" si="30"/>
        <v>dez | 2021</v>
      </c>
      <c r="CL345" s="167" t="str">
        <f t="shared" si="30"/>
        <v>set | 2021</v>
      </c>
      <c r="CM345" s="167" t="str">
        <f t="shared" si="30"/>
        <v>jun | 2021</v>
      </c>
      <c r="CN345" s="167" t="str">
        <f t="shared" si="30"/>
        <v>mar | 2021</v>
      </c>
      <c r="CO345" s="167" t="str">
        <f t="shared" si="30"/>
        <v>dez | 2020</v>
      </c>
      <c r="CP345" s="167" t="str">
        <f t="shared" si="30"/>
        <v>set | 2020</v>
      </c>
      <c r="CQ345" s="167" t="str">
        <f t="shared" si="30"/>
        <v>jun | 2020</v>
      </c>
      <c r="CR345" s="167" t="str">
        <f t="shared" si="30"/>
        <v>mar | 2020</v>
      </c>
    </row>
    <row r="346" spans="66:96" ht="19" customHeight="1" x14ac:dyDescent="0.35">
      <c r="BN346" s="1" t="str">
        <f>_xlfn.CONCAT($BR$256,"|",$BR$345,"|",BR346)</f>
        <v>CEMIG|FLUXO DE CAIXA DAS ATIVIDADES DE FINANCIAMENTO|Antecipação de CDE</v>
      </c>
      <c r="BR346" s="36" t="s">
        <v>834</v>
      </c>
      <c r="BS346" s="50">
        <v>709761</v>
      </c>
      <c r="BT346" s="50">
        <v>0</v>
      </c>
      <c r="BU346" s="50">
        <v>0</v>
      </c>
      <c r="BV346" s="50">
        <v>0</v>
      </c>
      <c r="BW346" s="50">
        <v>0</v>
      </c>
      <c r="BX346" s="50">
        <v>0</v>
      </c>
      <c r="BY346" s="50">
        <v>0</v>
      </c>
      <c r="BZ346" s="50">
        <v>0</v>
      </c>
      <c r="CA346" s="50">
        <v>0</v>
      </c>
      <c r="CB346" s="50">
        <v>0</v>
      </c>
      <c r="CC346" s="50">
        <v>0</v>
      </c>
      <c r="CD346" s="50">
        <v>0</v>
      </c>
      <c r="CE346" s="50">
        <v>0</v>
      </c>
      <c r="CF346" s="50">
        <v>0</v>
      </c>
      <c r="CG346" s="50">
        <v>0</v>
      </c>
      <c r="CH346" s="50">
        <v>0</v>
      </c>
      <c r="CI346" s="50">
        <v>0</v>
      </c>
      <c r="CJ346" s="50">
        <v>0</v>
      </c>
      <c r="CK346" s="50">
        <v>0</v>
      </c>
      <c r="CL346" s="50">
        <v>0</v>
      </c>
      <c r="CM346" s="50">
        <v>0</v>
      </c>
      <c r="CN346" s="50">
        <v>0</v>
      </c>
      <c r="CO346" s="50">
        <v>0</v>
      </c>
      <c r="CP346" s="50">
        <v>0</v>
      </c>
      <c r="CQ346" s="50">
        <v>0</v>
      </c>
      <c r="CR346" s="50">
        <v>0</v>
      </c>
    </row>
    <row r="347" spans="66:96" ht="19" customHeight="1" x14ac:dyDescent="0.35">
      <c r="BN347" s="1" t="str">
        <f>_xlfn.CONCAT($BR$256,"|",$BR$345,"|",BR347)</f>
        <v>CEMIG|FLUXO DE CAIXA DAS ATIVIDADES DE FINANCIAMENTO|Captação de debêntures, líquidas</v>
      </c>
      <c r="BP347" s="392"/>
      <c r="BR347" s="36" t="s">
        <v>399</v>
      </c>
      <c r="BS347" s="50">
        <v>4575156</v>
      </c>
      <c r="BT347" s="50">
        <v>0</v>
      </c>
      <c r="BU347" s="50">
        <v>9336811</v>
      </c>
      <c r="BV347" s="50">
        <v>5183588</v>
      </c>
      <c r="BW347" s="50">
        <v>4965036</v>
      </c>
      <c r="BX347" s="50">
        <v>3076366</v>
      </c>
      <c r="BY347" s="50">
        <v>4582208</v>
      </c>
      <c r="BZ347" s="50">
        <v>4382727</v>
      </c>
      <c r="CA347" s="50">
        <v>1946302</v>
      </c>
      <c r="CB347" s="50">
        <v>1946302</v>
      </c>
      <c r="CC347" s="50">
        <v>1987943</v>
      </c>
      <c r="CD347" s="50">
        <v>1987943</v>
      </c>
      <c r="CE347" s="50">
        <v>1988311</v>
      </c>
      <c r="CF347" s="50">
        <v>0</v>
      </c>
      <c r="CG347" s="50">
        <v>1981390</v>
      </c>
      <c r="CH347" s="50">
        <v>987534</v>
      </c>
      <c r="CI347" s="50">
        <v>987575</v>
      </c>
      <c r="CJ347" s="50">
        <v>0</v>
      </c>
      <c r="CK347" s="50">
        <v>13406</v>
      </c>
      <c r="CL347" s="50">
        <v>0</v>
      </c>
      <c r="CM347" s="50">
        <v>0</v>
      </c>
      <c r="CN347" s="50">
        <v>0</v>
      </c>
      <c r="CO347" s="50">
        <v>825562</v>
      </c>
      <c r="CP347" s="50">
        <v>825375</v>
      </c>
      <c r="CQ347" s="50">
        <v>0</v>
      </c>
      <c r="CR347" s="50">
        <v>0</v>
      </c>
    </row>
    <row r="348" spans="66:96" ht="19" customHeight="1" x14ac:dyDescent="0.35">
      <c r="BN348" s="1" t="str">
        <f>_xlfn.CONCAT($BR$256,"|",$BR$345,"|",BR348)</f>
        <v>CEMIG|FLUXO DE CAIXA DAS ATIVIDADES DE FINANCIAMENTO|Juros sobre capital próprio e dividendos pagos</v>
      </c>
      <c r="BP348" s="392"/>
      <c r="BR348" s="36" t="s">
        <v>400</v>
      </c>
      <c r="BS348" s="50">
        <v>-1415670</v>
      </c>
      <c r="BT348" s="50">
        <v>0</v>
      </c>
      <c r="BU348" s="50">
        <v>-3968306</v>
      </c>
      <c r="BV348" s="50">
        <v>-1775076</v>
      </c>
      <c r="BW348" s="50">
        <v>-1775716</v>
      </c>
      <c r="BX348" s="50">
        <v>0</v>
      </c>
      <c r="BY348" s="50">
        <v>-4294458</v>
      </c>
      <c r="BZ348" s="50">
        <v>-2976615</v>
      </c>
      <c r="CA348" s="50">
        <v>-1437823</v>
      </c>
      <c r="CB348" s="50">
        <v>0</v>
      </c>
      <c r="CC348" s="50">
        <v>-1823019</v>
      </c>
      <c r="CD348" s="50">
        <v>-912093</v>
      </c>
      <c r="CE348" s="50">
        <v>-912093</v>
      </c>
      <c r="CF348" s="50">
        <v>0</v>
      </c>
      <c r="CG348" s="50">
        <v>-2093907</v>
      </c>
      <c r="CH348" s="50">
        <v>-1034686</v>
      </c>
      <c r="CI348" s="50">
        <v>-935676</v>
      </c>
      <c r="CJ348" s="50">
        <v>0</v>
      </c>
      <c r="CK348" s="50">
        <v>-1416333</v>
      </c>
      <c r="CL348" s="50">
        <v>-701655</v>
      </c>
      <c r="CM348" s="50">
        <v>-700998</v>
      </c>
      <c r="CN348" s="50">
        <v>-5</v>
      </c>
      <c r="CO348" s="50">
        <v>-598135</v>
      </c>
      <c r="CP348" s="50">
        <v>-170</v>
      </c>
      <c r="CQ348" s="50">
        <v>-147</v>
      </c>
      <c r="CR348" s="50">
        <v>-120</v>
      </c>
    </row>
    <row r="349" spans="66:96" ht="19" customHeight="1" x14ac:dyDescent="0.35">
      <c r="BN349" s="1" t="str">
        <f>_xlfn.CONCAT($BR$256,"|",$BR$345,"|",BR349)</f>
        <v>CEMIG|FLUXO DE CAIXA DAS ATIVIDADES DE FINANCIAMENTO|Pagamentos de debêntures</v>
      </c>
      <c r="BP349" s="392"/>
      <c r="BR349" s="54" t="s">
        <v>401</v>
      </c>
      <c r="BS349" s="50">
        <v>-2098565</v>
      </c>
      <c r="BT349" s="50">
        <v>0</v>
      </c>
      <c r="BU349" s="50">
        <v>-2697201</v>
      </c>
      <c r="BV349" s="50">
        <v>-2463868</v>
      </c>
      <c r="BW349" s="50">
        <v>-2368868</v>
      </c>
      <c r="BX349" s="50">
        <v>-319865</v>
      </c>
      <c r="BY349" s="50">
        <v>-2974871</v>
      </c>
      <c r="BZ349" s="50">
        <v>-665915</v>
      </c>
      <c r="CA349" s="50">
        <v>-575916</v>
      </c>
      <c r="CB349" s="50">
        <v>-440917</v>
      </c>
      <c r="CC349" s="50">
        <v>-2678503</v>
      </c>
      <c r="CD349" s="50">
        <v>-719848</v>
      </c>
      <c r="CE349" s="50">
        <v>-564339</v>
      </c>
      <c r="CF349" s="50">
        <v>-428532</v>
      </c>
      <c r="CG349" s="50">
        <v>-2613340</v>
      </c>
      <c r="CH349" s="50">
        <v>-1136489</v>
      </c>
      <c r="CI349" s="50">
        <v>-973089</v>
      </c>
      <c r="CJ349" s="50">
        <v>-829673</v>
      </c>
      <c r="CK349" s="50">
        <v>-4436672</v>
      </c>
      <c r="CL349" s="50">
        <v>-4284754</v>
      </c>
      <c r="CM349" s="50">
        <v>-1533724</v>
      </c>
      <c r="CN349" s="50">
        <v>-1372571</v>
      </c>
      <c r="CO349" s="50">
        <v>-2531026</v>
      </c>
      <c r="CP349" s="50">
        <v>-2187264</v>
      </c>
      <c r="CQ349" s="50">
        <v>-1042496</v>
      </c>
      <c r="CR349" s="50">
        <v>-972447</v>
      </c>
    </row>
    <row r="350" spans="66:96" ht="19" customHeight="1" x14ac:dyDescent="0.35">
      <c r="BN350" s="1" t="str">
        <f>_xlfn.CONCAT($BR$256,"|",$BR$345,"|",BR350)</f>
        <v>CEMIG|FLUXO DE CAIXA DAS ATIVIDADES DE FINANCIAMENTO|Arrendamentos pagos</v>
      </c>
      <c r="BP350" s="392"/>
      <c r="BR350" s="54" t="s">
        <v>402</v>
      </c>
      <c r="BS350" s="50">
        <v>-33985</v>
      </c>
      <c r="BT350" s="50">
        <v>-16742</v>
      </c>
      <c r="BU350" s="50">
        <v>-81512</v>
      </c>
      <c r="BV350" s="50">
        <v>-60905</v>
      </c>
      <c r="BW350" s="50">
        <v>-40154</v>
      </c>
      <c r="BX350" s="50">
        <v>-19434</v>
      </c>
      <c r="BY350" s="50">
        <v>-72339</v>
      </c>
      <c r="BZ350" s="50">
        <v>-54450</v>
      </c>
      <c r="CA350" s="50">
        <v>-36540</v>
      </c>
      <c r="CB350" s="50">
        <v>-18490</v>
      </c>
      <c r="CC350" s="50">
        <v>-66634</v>
      </c>
      <c r="CD350" s="50">
        <v>-51892</v>
      </c>
      <c r="CE350" s="50">
        <v>-35114</v>
      </c>
      <c r="CF350" s="50">
        <v>-15736</v>
      </c>
      <c r="CG350" s="50">
        <v>-65677</v>
      </c>
      <c r="CH350" s="50">
        <v>-52640</v>
      </c>
      <c r="CI350" s="50">
        <v>-36922</v>
      </c>
      <c r="CJ350" s="50">
        <v>-18729</v>
      </c>
      <c r="CK350" s="50">
        <v>-70145</v>
      </c>
      <c r="CL350" s="50">
        <v>-51825</v>
      </c>
      <c r="CM350" s="50">
        <v>-33377</v>
      </c>
      <c r="CN350" s="50">
        <v>-16813</v>
      </c>
      <c r="CO350" s="50">
        <v>-83881</v>
      </c>
      <c r="CP350" s="50">
        <v>-64139</v>
      </c>
      <c r="CQ350" s="50">
        <v>-44321</v>
      </c>
      <c r="CR350" s="50">
        <v>-22412</v>
      </c>
    </row>
    <row r="351" spans="66:96" ht="19" customHeight="1" x14ac:dyDescent="0.35">
      <c r="BR351" s="56"/>
      <c r="BS351" s="57"/>
      <c r="BT351" s="57"/>
      <c r="BU351" s="57"/>
      <c r="BV351" s="57"/>
      <c r="BW351" s="57"/>
      <c r="BX351" s="57"/>
      <c r="BY351" s="57"/>
      <c r="BZ351" s="57"/>
      <c r="CA351" s="57"/>
      <c r="CB351" s="57"/>
      <c r="CC351" s="57"/>
      <c r="CD351" s="57"/>
      <c r="CE351" s="57"/>
      <c r="CF351" s="57"/>
      <c r="CG351" s="57"/>
      <c r="CH351" s="57"/>
      <c r="CI351" s="57"/>
      <c r="CJ351" s="57"/>
      <c r="CK351" s="57"/>
      <c r="CL351" s="57"/>
      <c r="CM351" s="57"/>
      <c r="CN351" s="57"/>
      <c r="CO351" s="57"/>
      <c r="CP351" s="57"/>
      <c r="CQ351" s="57"/>
      <c r="CR351" s="57"/>
    </row>
    <row r="352" spans="66:96" ht="25" customHeight="1" x14ac:dyDescent="0.35">
      <c r="BN352" s="81" t="str">
        <f>BR352</f>
        <v>CAIXA LÍQUIDO GERADO (CONSUMIDO) PELAS ATIVIDADES DE FINANCIAMENTO</v>
      </c>
      <c r="BO352" s="81"/>
      <c r="BP352" s="81"/>
      <c r="BR352" s="68" t="s">
        <v>403</v>
      </c>
      <c r="BS352" s="78">
        <f>IFERROR(SUM(BS346:BS350),0)</f>
        <v>1736697</v>
      </c>
      <c r="BT352" s="78">
        <f t="shared" ref="BT352:CR352" si="31">IFERROR(SUM(BT346:BT350),0)</f>
        <v>-16742</v>
      </c>
      <c r="BU352" s="78">
        <f t="shared" si="31"/>
        <v>2589792</v>
      </c>
      <c r="BV352" s="78">
        <f t="shared" si="31"/>
        <v>883739</v>
      </c>
      <c r="BW352" s="78">
        <f t="shared" si="31"/>
        <v>780298</v>
      </c>
      <c r="BX352" s="78">
        <f t="shared" si="31"/>
        <v>2737067</v>
      </c>
      <c r="BY352" s="78">
        <f t="shared" si="31"/>
        <v>-2759460</v>
      </c>
      <c r="BZ352" s="78">
        <f t="shared" si="31"/>
        <v>685747</v>
      </c>
      <c r="CA352" s="78">
        <f t="shared" si="31"/>
        <v>-103977</v>
      </c>
      <c r="CB352" s="78">
        <f t="shared" si="31"/>
        <v>1486895</v>
      </c>
      <c r="CC352" s="78">
        <f t="shared" si="31"/>
        <v>-2580213</v>
      </c>
      <c r="CD352" s="78">
        <f t="shared" si="31"/>
        <v>304110</v>
      </c>
      <c r="CE352" s="78">
        <f t="shared" si="31"/>
        <v>476765</v>
      </c>
      <c r="CF352" s="78">
        <f t="shared" si="31"/>
        <v>-444268</v>
      </c>
      <c r="CG352" s="78">
        <f t="shared" si="31"/>
        <v>-2791534</v>
      </c>
      <c r="CH352" s="78">
        <f t="shared" si="31"/>
        <v>-1236281</v>
      </c>
      <c r="CI352" s="78">
        <f t="shared" si="31"/>
        <v>-958112</v>
      </c>
      <c r="CJ352" s="78">
        <f t="shared" si="31"/>
        <v>-848402</v>
      </c>
      <c r="CK352" s="78">
        <f t="shared" si="31"/>
        <v>-5909744</v>
      </c>
      <c r="CL352" s="78">
        <f t="shared" si="31"/>
        <v>-5038234</v>
      </c>
      <c r="CM352" s="78">
        <f t="shared" si="31"/>
        <v>-2268099</v>
      </c>
      <c r="CN352" s="78">
        <f t="shared" si="31"/>
        <v>-1389389</v>
      </c>
      <c r="CO352" s="78">
        <f t="shared" si="31"/>
        <v>-2387480</v>
      </c>
      <c r="CP352" s="78">
        <f t="shared" si="31"/>
        <v>-1426198</v>
      </c>
      <c r="CQ352" s="78">
        <f t="shared" si="31"/>
        <v>-1086964</v>
      </c>
      <c r="CR352" s="78">
        <f t="shared" si="31"/>
        <v>-994979</v>
      </c>
    </row>
    <row r="353" spans="66:96" ht="19" customHeight="1" x14ac:dyDescent="0.35">
      <c r="BR353" s="68"/>
      <c r="BS353" s="69"/>
      <c r="BT353" s="69"/>
      <c r="BU353" s="69"/>
      <c r="BV353" s="69"/>
      <c r="BW353" s="69"/>
      <c r="BX353" s="69"/>
      <c r="BY353" s="69"/>
      <c r="BZ353" s="69"/>
      <c r="CA353" s="69"/>
      <c r="CB353" s="69"/>
      <c r="CC353" s="69"/>
      <c r="CD353" s="69"/>
      <c r="CE353" s="69"/>
      <c r="CF353" s="69"/>
      <c r="CG353" s="69"/>
      <c r="CH353" s="69"/>
      <c r="CI353" s="69"/>
      <c r="CJ353" s="69"/>
      <c r="CK353" s="69"/>
      <c r="CL353" s="69"/>
      <c r="CM353" s="69"/>
      <c r="CN353" s="69"/>
      <c r="CO353" s="69"/>
      <c r="CP353" s="69"/>
      <c r="CQ353" s="69"/>
      <c r="CR353" s="69"/>
    </row>
    <row r="354" spans="66:96" ht="30" customHeight="1" x14ac:dyDescent="0.35">
      <c r="BN354" s="81" t="str">
        <f>BR354</f>
        <v>TOTAL DOS EFEITOS NO CAIXA E EQUIVALENTES DE CAIXA</v>
      </c>
      <c r="BO354" s="81"/>
      <c r="BP354" s="81"/>
      <c r="BR354" s="210" t="s">
        <v>341</v>
      </c>
      <c r="BS354" s="167">
        <f>IFERROR(SUM(BS352,BS343,BS324),0)</f>
        <v>260760</v>
      </c>
      <c r="BT354" s="167">
        <f t="shared" ref="BT354:CR354" si="32">IFERROR(SUM(BT352,BT343,BT324),0)</f>
        <v>-524076</v>
      </c>
      <c r="BU354" s="167">
        <f t="shared" si="32"/>
        <v>3412</v>
      </c>
      <c r="BV354" s="167">
        <f t="shared" si="32"/>
        <v>-446540</v>
      </c>
      <c r="BW354" s="167">
        <f t="shared" si="32"/>
        <v>-140437</v>
      </c>
      <c r="BX354" s="167">
        <f t="shared" si="32"/>
        <v>1345806</v>
      </c>
      <c r="BY354" s="167">
        <f t="shared" si="32"/>
        <v>360742</v>
      </c>
      <c r="BZ354" s="167">
        <f t="shared" si="32"/>
        <v>2123305</v>
      </c>
      <c r="CA354" s="167">
        <f t="shared" si="32"/>
        <v>26767</v>
      </c>
      <c r="CB354" s="167">
        <f t="shared" si="32"/>
        <v>639919</v>
      </c>
      <c r="CC354" s="167">
        <f t="shared" si="32"/>
        <v>96821</v>
      </c>
      <c r="CD354" s="167">
        <f t="shared" si="32"/>
        <v>915019</v>
      </c>
      <c r="CE354" s="167">
        <f t="shared" si="32"/>
        <v>742158</v>
      </c>
      <c r="CF354" s="167">
        <f t="shared" si="32"/>
        <v>159517</v>
      </c>
      <c r="CG354" s="167">
        <f t="shared" si="32"/>
        <v>615453</v>
      </c>
      <c r="CH354" s="167">
        <f t="shared" si="32"/>
        <v>1165504</v>
      </c>
      <c r="CI354" s="167">
        <f t="shared" si="32"/>
        <v>1042573</v>
      </c>
      <c r="CJ354" s="167">
        <f t="shared" si="32"/>
        <v>584164</v>
      </c>
      <c r="CK354" s="167">
        <f t="shared" si="32"/>
        <v>-855189</v>
      </c>
      <c r="CL354" s="167">
        <f t="shared" si="32"/>
        <v>-852613</v>
      </c>
      <c r="CM354" s="167">
        <f t="shared" si="32"/>
        <v>981199</v>
      </c>
      <c r="CN354" s="167">
        <f t="shared" si="32"/>
        <v>1652014</v>
      </c>
      <c r="CO354" s="167">
        <f t="shared" si="32"/>
        <v>1144640</v>
      </c>
      <c r="CP354" s="167">
        <f t="shared" si="32"/>
        <v>884994</v>
      </c>
      <c r="CQ354" s="167">
        <f t="shared" si="32"/>
        <v>435557</v>
      </c>
      <c r="CR354" s="167">
        <f t="shared" si="32"/>
        <v>259974</v>
      </c>
    </row>
    <row r="355" spans="66:96" ht="19" customHeight="1" x14ac:dyDescent="0.35">
      <c r="BR355" s="36"/>
      <c r="BS355" s="50"/>
      <c r="BT355" s="50"/>
      <c r="BU355" s="50"/>
      <c r="BV355" s="50"/>
      <c r="BW355" s="50"/>
      <c r="BX355" s="50"/>
      <c r="BY355" s="50"/>
      <c r="BZ355" s="50"/>
      <c r="CA355" s="50"/>
      <c r="CB355" s="50"/>
      <c r="CC355" s="50"/>
      <c r="CD355" s="50"/>
      <c r="CE355" s="50"/>
      <c r="CF355" s="50"/>
      <c r="CG355" s="50"/>
      <c r="CH355" s="50"/>
      <c r="CI355" s="50"/>
      <c r="CJ355" s="50"/>
      <c r="CK355" s="50"/>
      <c r="CL355" s="50"/>
      <c r="CM355" s="50"/>
      <c r="CN355" s="50"/>
      <c r="CO355" s="50"/>
      <c r="CP355" s="50"/>
      <c r="CQ355" s="50"/>
      <c r="CR355" s="50"/>
    </row>
    <row r="356" spans="66:96" ht="19" customHeight="1" x14ac:dyDescent="0.35">
      <c r="BN356" s="1" t="str">
        <f>_xlfn.CONCAT($BR$256,"|",BR356)</f>
        <v>CEMIG|Caixa e equivalentes de caixa no início do período</v>
      </c>
      <c r="BR356" s="36" t="s">
        <v>404</v>
      </c>
      <c r="BS356" s="50">
        <v>1901636</v>
      </c>
      <c r="BT356" s="50">
        <v>1901636</v>
      </c>
      <c r="BU356" s="50">
        <v>1898224</v>
      </c>
      <c r="BV356" s="50">
        <v>1898224</v>
      </c>
      <c r="BW356" s="50">
        <v>1898224</v>
      </c>
      <c r="BX356" s="50">
        <v>1898224</v>
      </c>
      <c r="BY356" s="50">
        <v>1537482</v>
      </c>
      <c r="BZ356" s="50">
        <v>1537482</v>
      </c>
      <c r="CA356" s="50">
        <v>1537482</v>
      </c>
      <c r="CB356" s="50">
        <v>1537482</v>
      </c>
      <c r="CC356" s="50">
        <v>1440661</v>
      </c>
      <c r="CD356" s="50">
        <v>1440661</v>
      </c>
      <c r="CE356" s="50">
        <v>1440661</v>
      </c>
      <c r="CF356" s="50">
        <v>1440661</v>
      </c>
      <c r="CG356" s="50">
        <v>825208</v>
      </c>
      <c r="CH356" s="50">
        <v>825208</v>
      </c>
      <c r="CI356" s="50">
        <v>825208</v>
      </c>
      <c r="CJ356" s="50">
        <v>825208</v>
      </c>
      <c r="CK356" s="50">
        <v>1680397</v>
      </c>
      <c r="CL356" s="50">
        <v>1680397</v>
      </c>
      <c r="CM356" s="50">
        <v>1680397</v>
      </c>
      <c r="CN356" s="50">
        <v>1680397</v>
      </c>
      <c r="CO356" s="50">
        <v>535757</v>
      </c>
      <c r="CP356" s="50">
        <v>535757</v>
      </c>
      <c r="CQ356" s="50">
        <v>535757</v>
      </c>
      <c r="CR356" s="50">
        <v>535757</v>
      </c>
    </row>
    <row r="357" spans="66:96" ht="19" customHeight="1" x14ac:dyDescent="0.35">
      <c r="BN357" s="1" t="str">
        <f>_xlfn.CONCAT($BR$256,"|",BR357)</f>
        <v>CEMIG|Caixa e equivalentes de caixa no final do período</v>
      </c>
      <c r="BR357" s="36" t="s">
        <v>405</v>
      </c>
      <c r="BS357" s="50">
        <v>2162396</v>
      </c>
      <c r="BT357" s="50">
        <v>1377560</v>
      </c>
      <c r="BU357" s="50">
        <v>1901636</v>
      </c>
      <c r="BV357" s="50">
        <v>1451684</v>
      </c>
      <c r="BW357" s="50">
        <v>1757787</v>
      </c>
      <c r="BX357" s="50">
        <v>3244030</v>
      </c>
      <c r="BY357" s="50">
        <v>1898224</v>
      </c>
      <c r="BZ357" s="50">
        <v>3660787</v>
      </c>
      <c r="CA357" s="50">
        <v>1564249</v>
      </c>
      <c r="CB357" s="50">
        <v>2177401</v>
      </c>
      <c r="CC357" s="50">
        <v>1537482</v>
      </c>
      <c r="CD357" s="50">
        <v>2355680</v>
      </c>
      <c r="CE357" s="50">
        <v>2182819</v>
      </c>
      <c r="CF357" s="50">
        <v>1600178</v>
      </c>
      <c r="CG357" s="50">
        <v>1440661</v>
      </c>
      <c r="CH357" s="50">
        <v>1990712</v>
      </c>
      <c r="CI357" s="50">
        <v>1867781</v>
      </c>
      <c r="CJ357" s="50">
        <v>1409372</v>
      </c>
      <c r="CK357" s="50">
        <v>825208</v>
      </c>
      <c r="CL357" s="50">
        <v>827784</v>
      </c>
      <c r="CM357" s="50">
        <v>2661596</v>
      </c>
      <c r="CN357" s="50">
        <v>3332411</v>
      </c>
      <c r="CO357" s="50">
        <v>1680397</v>
      </c>
      <c r="CP357" s="50">
        <v>1420751</v>
      </c>
      <c r="CQ357" s="50">
        <v>971314</v>
      </c>
      <c r="CR357" s="50">
        <v>795731</v>
      </c>
    </row>
    <row r="358" spans="66:96" ht="19" customHeight="1" x14ac:dyDescent="0.35">
      <c r="BR358" s="74"/>
      <c r="BS358" s="75"/>
      <c r="BT358" s="75"/>
      <c r="BU358" s="75"/>
      <c r="BV358" s="75"/>
      <c r="BW358" s="75"/>
      <c r="BX358" s="75"/>
      <c r="BY358" s="75"/>
      <c r="BZ358" s="75"/>
      <c r="CA358" s="75"/>
      <c r="CB358" s="75"/>
      <c r="CC358" s="75"/>
      <c r="CD358" s="75"/>
      <c r="CE358" s="75"/>
      <c r="CF358" s="75"/>
      <c r="CG358" s="75"/>
      <c r="CH358" s="75"/>
      <c r="CI358" s="75"/>
      <c r="CJ358" s="75"/>
      <c r="CK358" s="75"/>
      <c r="CL358" s="75"/>
      <c r="CM358" s="75"/>
      <c r="CN358" s="75"/>
      <c r="CO358" s="75"/>
      <c r="CP358" s="75"/>
      <c r="CQ358" s="75"/>
      <c r="CR358" s="75"/>
    </row>
    <row r="359" spans="66:96" ht="30" customHeight="1" x14ac:dyDescent="0.35">
      <c r="BN359" s="81" t="str">
        <f>BR359</f>
        <v>VARIAÇÃO LÍQUIDA DO CAIXA E EQUIVALENTES DE CAIXA</v>
      </c>
      <c r="BO359" s="81"/>
      <c r="BP359" s="81"/>
      <c r="BR359" s="210" t="s">
        <v>342</v>
      </c>
      <c r="BS359" s="163">
        <f>IFERROR(BS357-BS356,0)</f>
        <v>260760</v>
      </c>
      <c r="BT359" s="163">
        <f>IFERROR(BT357-BT356,0)</f>
        <v>-524076</v>
      </c>
      <c r="BU359" s="163">
        <f t="shared" ref="BU359:CR359" si="33">IFERROR(BU357-BU356,0)</f>
        <v>3412</v>
      </c>
      <c r="BV359" s="163">
        <f t="shared" si="33"/>
        <v>-446540</v>
      </c>
      <c r="BW359" s="163">
        <f t="shared" si="33"/>
        <v>-140437</v>
      </c>
      <c r="BX359" s="163">
        <f t="shared" si="33"/>
        <v>1345806</v>
      </c>
      <c r="BY359" s="163">
        <f t="shared" si="33"/>
        <v>360742</v>
      </c>
      <c r="BZ359" s="163">
        <f t="shared" si="33"/>
        <v>2123305</v>
      </c>
      <c r="CA359" s="163">
        <f t="shared" si="33"/>
        <v>26767</v>
      </c>
      <c r="CB359" s="163">
        <f t="shared" si="33"/>
        <v>639919</v>
      </c>
      <c r="CC359" s="163">
        <f t="shared" si="33"/>
        <v>96821</v>
      </c>
      <c r="CD359" s="163">
        <f t="shared" si="33"/>
        <v>915019</v>
      </c>
      <c r="CE359" s="163">
        <f t="shared" si="33"/>
        <v>742158</v>
      </c>
      <c r="CF359" s="163">
        <f t="shared" si="33"/>
        <v>159517</v>
      </c>
      <c r="CG359" s="163">
        <f t="shared" si="33"/>
        <v>615453</v>
      </c>
      <c r="CH359" s="163">
        <f t="shared" si="33"/>
        <v>1165504</v>
      </c>
      <c r="CI359" s="163">
        <f t="shared" si="33"/>
        <v>1042573</v>
      </c>
      <c r="CJ359" s="163">
        <f t="shared" si="33"/>
        <v>584164</v>
      </c>
      <c r="CK359" s="163">
        <f t="shared" si="33"/>
        <v>-855189</v>
      </c>
      <c r="CL359" s="163">
        <f t="shared" si="33"/>
        <v>-852613</v>
      </c>
      <c r="CM359" s="163">
        <f t="shared" si="33"/>
        <v>981199</v>
      </c>
      <c r="CN359" s="163">
        <f t="shared" si="33"/>
        <v>1652014</v>
      </c>
      <c r="CO359" s="163">
        <f t="shared" si="33"/>
        <v>1144640</v>
      </c>
      <c r="CP359" s="163">
        <f t="shared" si="33"/>
        <v>884994</v>
      </c>
      <c r="CQ359" s="163">
        <f t="shared" si="33"/>
        <v>435557</v>
      </c>
      <c r="CR359" s="163">
        <f t="shared" si="33"/>
        <v>259974</v>
      </c>
    </row>
    <row r="360" spans="66:96" ht="30" customHeight="1" x14ac:dyDescent="0.35"/>
    <row r="361" spans="66:96" ht="30" customHeight="1" x14ac:dyDescent="0.35"/>
    <row r="362" spans="66:96" ht="40" customHeight="1" x14ac:dyDescent="0.35">
      <c r="BQ362" s="186"/>
      <c r="BR362" s="492"/>
      <c r="BS362" s="492"/>
      <c r="BT362" s="492"/>
      <c r="BU362" s="492"/>
      <c r="BV362" s="492"/>
      <c r="BW362" s="492"/>
      <c r="BX362" s="492"/>
      <c r="BY362" s="492"/>
      <c r="BZ362" s="492"/>
      <c r="CA362" s="492"/>
      <c r="CB362" s="492"/>
      <c r="CC362" s="492"/>
      <c r="CD362" s="492"/>
      <c r="CE362" s="492"/>
      <c r="CF362" s="492"/>
      <c r="CG362" s="492"/>
      <c r="CH362" s="492"/>
      <c r="CI362" s="492"/>
      <c r="CJ362" s="492"/>
      <c r="CK362" s="492"/>
      <c r="CL362" s="492"/>
      <c r="CM362" s="492"/>
      <c r="CN362" s="492"/>
      <c r="CO362" s="492"/>
      <c r="CP362" s="492"/>
      <c r="CQ362" s="492"/>
      <c r="CR362" s="492"/>
    </row>
    <row r="439" spans="70:96" ht="40" customHeight="1" x14ac:dyDescent="0.35">
      <c r="BR439" s="492"/>
      <c r="BS439" s="492"/>
      <c r="BT439" s="492"/>
      <c r="BU439" s="492"/>
      <c r="BV439" s="492"/>
      <c r="BW439" s="492"/>
      <c r="BX439" s="492"/>
      <c r="BY439" s="492"/>
      <c r="BZ439" s="492"/>
      <c r="CA439" s="492"/>
      <c r="CB439" s="492"/>
      <c r="CC439" s="492"/>
      <c r="CD439" s="492"/>
      <c r="CE439" s="492"/>
      <c r="CF439" s="492"/>
      <c r="CG439" s="492"/>
      <c r="CH439" s="492"/>
      <c r="CI439" s="492"/>
      <c r="CJ439" s="492"/>
      <c r="CK439" s="492"/>
      <c r="CL439" s="492"/>
      <c r="CM439" s="492"/>
      <c r="CN439" s="492"/>
      <c r="CO439" s="492"/>
      <c r="CP439" s="492"/>
      <c r="CQ439" s="492"/>
      <c r="CR439" s="492"/>
    </row>
    <row r="1014" spans="2:5" ht="45" customHeight="1" x14ac:dyDescent="0.35">
      <c r="B1014" s="110" t="s">
        <v>337</v>
      </c>
      <c r="C1014" s="125"/>
      <c r="D1014" s="116"/>
    </row>
    <row r="1015" spans="2:5" ht="10" customHeight="1" x14ac:dyDescent="0.35">
      <c r="B1015" s="111"/>
      <c r="C1015" s="111"/>
      <c r="D1015" s="115"/>
    </row>
    <row r="1016" spans="2:5" ht="40" customHeight="1" x14ac:dyDescent="0.35">
      <c r="B1016" s="112" t="s">
        <v>98</v>
      </c>
      <c r="C1016" s="117"/>
      <c r="D1016" s="114"/>
      <c r="E1016" s="132"/>
    </row>
    <row r="1017" spans="2:5" ht="15" customHeight="1" x14ac:dyDescent="0.35">
      <c r="D1017" s="15" t="s">
        <v>25</v>
      </c>
    </row>
    <row r="1018" spans="2:5" ht="30" customHeight="1" x14ac:dyDescent="0.35">
      <c r="B1018" s="211" t="s">
        <v>338</v>
      </c>
      <c r="C1018" s="167" t="s">
        <v>246</v>
      </c>
      <c r="D1018" s="164" t="s">
        <v>249</v>
      </c>
    </row>
    <row r="1019" spans="2:5" ht="25" customHeight="1" x14ac:dyDescent="0.35">
      <c r="B1019" s="42" t="s">
        <v>232</v>
      </c>
      <c r="C1019" s="46">
        <v>880787</v>
      </c>
      <c r="D1019" s="46">
        <v>861712</v>
      </c>
    </row>
    <row r="1020" spans="2:5" ht="20.149999999999999" customHeight="1" x14ac:dyDescent="0.35">
      <c r="B1020" s="42"/>
      <c r="C1020" s="46"/>
      <c r="D1020" s="46"/>
    </row>
    <row r="1021" spans="2:5" ht="25" customHeight="1" x14ac:dyDescent="0.35">
      <c r="B1021" s="42" t="s">
        <v>406</v>
      </c>
      <c r="C1021" s="46">
        <f>IFERROR(SUM(C1022:C1034,C1019),0)</f>
        <v>1685722</v>
      </c>
      <c r="D1021" s="46">
        <f>IFERROR(SUM(D1022:D1034,D1019),0)</f>
        <v>1554357</v>
      </c>
    </row>
    <row r="1022" spans="2:5" ht="20.149999999999999" customHeight="1" x14ac:dyDescent="0.35">
      <c r="B1022" s="49" t="s">
        <v>111</v>
      </c>
      <c r="C1022" s="475">
        <v>57794</v>
      </c>
      <c r="D1022" s="444">
        <v>136220</v>
      </c>
    </row>
    <row r="1023" spans="2:5" ht="20.149999999999999" customHeight="1" x14ac:dyDescent="0.35">
      <c r="B1023" s="49" t="s">
        <v>112</v>
      </c>
      <c r="C1023" s="475">
        <v>556492</v>
      </c>
      <c r="D1023" s="444">
        <v>501864</v>
      </c>
    </row>
    <row r="1024" spans="2:5" ht="20.149999999999999" customHeight="1" x14ac:dyDescent="0.35">
      <c r="B1024" s="49" t="s">
        <v>82</v>
      </c>
      <c r="C1024" s="475">
        <v>-92644</v>
      </c>
      <c r="D1024" s="444">
        <v>52435</v>
      </c>
    </row>
    <row r="1025" spans="2:4" ht="20.149999999999999" customHeight="1" x14ac:dyDescent="0.35">
      <c r="B1025" s="49" t="s">
        <v>843</v>
      </c>
      <c r="C1025" s="475">
        <v>55244</v>
      </c>
      <c r="D1025" s="444">
        <v>117702</v>
      </c>
    </row>
    <row r="1026" spans="2:4" ht="20.149999999999999" customHeight="1" x14ac:dyDescent="0.35">
      <c r="B1026" s="49" t="s">
        <v>358</v>
      </c>
      <c r="C1026" s="475">
        <v>0</v>
      </c>
      <c r="D1026" s="444">
        <v>-177892</v>
      </c>
    </row>
    <row r="1027" spans="2:4" ht="20.149999999999999" customHeight="1" x14ac:dyDescent="0.35">
      <c r="B1027" s="49" t="s">
        <v>407</v>
      </c>
      <c r="C1027" s="475">
        <v>65255</v>
      </c>
      <c r="D1027" s="444">
        <v>48923</v>
      </c>
    </row>
    <row r="1028" spans="2:4" ht="20.149999999999999" customHeight="1" x14ac:dyDescent="0.35">
      <c r="B1028" s="49" t="s">
        <v>423</v>
      </c>
      <c r="C1028" s="475">
        <v>1147841</v>
      </c>
      <c r="D1028" s="444">
        <v>705025</v>
      </c>
    </row>
    <row r="1029" spans="2:4" ht="20.149999999999999" customHeight="1" x14ac:dyDescent="0.35">
      <c r="B1029" s="49" t="s">
        <v>408</v>
      </c>
      <c r="C1029" s="475">
        <v>-144964</v>
      </c>
      <c r="D1029" s="444">
        <v>-79821</v>
      </c>
    </row>
    <row r="1030" spans="2:4" ht="20.149999999999999" customHeight="1" x14ac:dyDescent="0.35">
      <c r="B1030" s="49" t="s">
        <v>840</v>
      </c>
      <c r="C1030" s="475">
        <v>14509</v>
      </c>
      <c r="D1030" s="444">
        <v>10638</v>
      </c>
    </row>
    <row r="1031" spans="2:4" ht="20.149999999999999" customHeight="1" x14ac:dyDescent="0.35">
      <c r="B1031" s="49" t="s">
        <v>844</v>
      </c>
      <c r="C1031" s="475">
        <v>-583335</v>
      </c>
      <c r="D1031" s="444">
        <v>-196714</v>
      </c>
    </row>
    <row r="1032" spans="2:4" ht="20.149999999999999" customHeight="1" x14ac:dyDescent="0.35">
      <c r="B1032" s="49" t="s">
        <v>345</v>
      </c>
      <c r="C1032" s="475">
        <v>158062</v>
      </c>
      <c r="D1032" s="444">
        <v>205997</v>
      </c>
    </row>
    <row r="1033" spans="2:4" ht="20.149999999999999" customHeight="1" x14ac:dyDescent="0.35">
      <c r="B1033" s="49" t="s">
        <v>282</v>
      </c>
      <c r="C1033" s="475">
        <v>-403128</v>
      </c>
      <c r="D1033" s="444">
        <v>-631732</v>
      </c>
    </row>
    <row r="1034" spans="2:4" ht="20.149999999999999" customHeight="1" x14ac:dyDescent="0.35">
      <c r="B1034" s="49" t="s">
        <v>845</v>
      </c>
      <c r="C1034" s="475">
        <v>-26191</v>
      </c>
      <c r="D1034" s="444">
        <v>0</v>
      </c>
    </row>
    <row r="1035" spans="2:4" ht="20.149999999999999" customHeight="1" x14ac:dyDescent="0.35">
      <c r="B1035" s="49"/>
      <c r="C1035" s="76"/>
      <c r="D1035" s="32"/>
    </row>
    <row r="1036" spans="2:4" ht="25" customHeight="1" x14ac:dyDescent="0.35">
      <c r="B1036" s="42" t="s">
        <v>367</v>
      </c>
      <c r="C1036" s="46">
        <f>IFERROR(SUM(C1037:C1043),0)</f>
        <v>266192</v>
      </c>
      <c r="D1036" s="46">
        <f>IFERROR(SUM(D1037:D1043),0)</f>
        <v>-218727</v>
      </c>
    </row>
    <row r="1037" spans="2:4" ht="20.149999999999999" customHeight="1" x14ac:dyDescent="0.35">
      <c r="B1037" s="36" t="s">
        <v>273</v>
      </c>
      <c r="C1037" s="475">
        <v>-192355</v>
      </c>
      <c r="D1037" s="444">
        <v>-129411</v>
      </c>
    </row>
    <row r="1038" spans="2:4" ht="20.149999999999999" customHeight="1" x14ac:dyDescent="0.35">
      <c r="B1038" s="36" t="s">
        <v>409</v>
      </c>
      <c r="C1038" s="475">
        <v>-114998</v>
      </c>
      <c r="D1038" s="444">
        <v>-94548</v>
      </c>
    </row>
    <row r="1039" spans="2:4" ht="20.149999999999999" customHeight="1" x14ac:dyDescent="0.35">
      <c r="B1039" s="36" t="s">
        <v>846</v>
      </c>
      <c r="C1039" s="475">
        <v>-30862</v>
      </c>
      <c r="D1039" s="444">
        <v>-36558</v>
      </c>
    </row>
    <row r="1040" spans="2:4" ht="20.149999999999999" customHeight="1" x14ac:dyDescent="0.35">
      <c r="B1040" s="36" t="s">
        <v>287</v>
      </c>
      <c r="C1040" s="475">
        <v>122901</v>
      </c>
      <c r="D1040" s="444">
        <v>17587</v>
      </c>
    </row>
    <row r="1041" spans="2:4" ht="20.149999999999999" customHeight="1" x14ac:dyDescent="0.35">
      <c r="B1041" s="36" t="s">
        <v>281</v>
      </c>
      <c r="C1041" s="475">
        <v>-1580</v>
      </c>
      <c r="D1041" s="444">
        <v>-29854</v>
      </c>
    </row>
    <row r="1042" spans="2:4" ht="20.149999999999999" customHeight="1" x14ac:dyDescent="0.35">
      <c r="B1042" s="36" t="s">
        <v>282</v>
      </c>
      <c r="C1042" s="475">
        <v>356312</v>
      </c>
      <c r="D1042" s="444">
        <v>217510</v>
      </c>
    </row>
    <row r="1043" spans="2:4" ht="20.149999999999999" customHeight="1" x14ac:dyDescent="0.35">
      <c r="B1043" s="36" t="s">
        <v>23</v>
      </c>
      <c r="C1043" s="475">
        <v>126774</v>
      </c>
      <c r="D1043" s="444">
        <v>-163453</v>
      </c>
    </row>
    <row r="1044" spans="2:4" ht="20.149999999999999" customHeight="1" x14ac:dyDescent="0.35">
      <c r="B1044" s="36"/>
      <c r="C1044" s="76"/>
      <c r="D1044" s="32"/>
    </row>
    <row r="1045" spans="2:4" ht="25" customHeight="1" x14ac:dyDescent="0.35">
      <c r="B1045" s="42" t="s">
        <v>371</v>
      </c>
      <c r="C1045" s="46">
        <f>IFERROR(SUM(C1046:C1056),0)</f>
        <v>-649777</v>
      </c>
      <c r="D1045" s="46">
        <f>IFERROR(SUM(D1046:D1056),0)</f>
        <v>47112</v>
      </c>
    </row>
    <row r="1046" spans="2:4" ht="20.149999999999999" customHeight="1" x14ac:dyDescent="0.35">
      <c r="B1046" s="36" t="s">
        <v>294</v>
      </c>
      <c r="C1046" s="475">
        <v>91861</v>
      </c>
      <c r="D1046" s="444">
        <v>20575</v>
      </c>
    </row>
    <row r="1047" spans="2:4" ht="20.149999999999999" customHeight="1" x14ac:dyDescent="0.35">
      <c r="B1047" s="36" t="s">
        <v>296</v>
      </c>
      <c r="C1047" s="475">
        <v>-104897</v>
      </c>
      <c r="D1047" s="444">
        <v>-39096</v>
      </c>
    </row>
    <row r="1048" spans="2:4" ht="20.149999999999999" customHeight="1" x14ac:dyDescent="0.35">
      <c r="B1048" s="36" t="s">
        <v>322</v>
      </c>
      <c r="C1048" s="475">
        <v>38107</v>
      </c>
      <c r="D1048" s="444">
        <v>30465</v>
      </c>
    </row>
    <row r="1049" spans="2:4" ht="20.149999999999999" customHeight="1" x14ac:dyDescent="0.35">
      <c r="B1049" s="36" t="s">
        <v>281</v>
      </c>
      <c r="C1049" s="475">
        <v>-9676</v>
      </c>
      <c r="D1049" s="444">
        <v>21905</v>
      </c>
    </row>
    <row r="1050" spans="2:4" ht="20.149999999999999" customHeight="1" x14ac:dyDescent="0.35">
      <c r="B1050" s="36" t="s">
        <v>295</v>
      </c>
      <c r="C1050" s="475">
        <v>-9954</v>
      </c>
      <c r="D1050" s="444">
        <v>96001</v>
      </c>
    </row>
    <row r="1051" spans="2:4" ht="20.149999999999999" customHeight="1" x14ac:dyDescent="0.35">
      <c r="B1051" s="36" t="s">
        <v>410</v>
      </c>
      <c r="C1051" s="475">
        <v>-61018</v>
      </c>
      <c r="D1051" s="444">
        <v>-119775</v>
      </c>
    </row>
    <row r="1052" spans="2:4" ht="20.149999999999999" customHeight="1" x14ac:dyDescent="0.35">
      <c r="B1052" s="36" t="s">
        <v>411</v>
      </c>
      <c r="C1052" s="475">
        <v>-304205</v>
      </c>
      <c r="D1052" s="444">
        <v>0</v>
      </c>
    </row>
    <row r="1053" spans="2:4" ht="20.149999999999999" customHeight="1" x14ac:dyDescent="0.35">
      <c r="B1053" s="36" t="s">
        <v>412</v>
      </c>
      <c r="C1053" s="445">
        <v>-216911</v>
      </c>
      <c r="D1053" s="444">
        <v>-112809</v>
      </c>
    </row>
    <row r="1054" spans="2:4" ht="20.149999999999999" customHeight="1" x14ac:dyDescent="0.35">
      <c r="B1054" s="36" t="s">
        <v>323</v>
      </c>
      <c r="C1054" s="445">
        <v>-21433</v>
      </c>
      <c r="D1054" s="444">
        <v>-3043</v>
      </c>
    </row>
    <row r="1055" spans="2:4" ht="20.149999999999999" customHeight="1" x14ac:dyDescent="0.35">
      <c r="B1055" s="36" t="s">
        <v>413</v>
      </c>
      <c r="C1055" s="445">
        <v>-64195</v>
      </c>
      <c r="D1055" s="444">
        <v>239640</v>
      </c>
    </row>
    <row r="1056" spans="2:4" ht="20.149999999999999" customHeight="1" x14ac:dyDescent="0.35">
      <c r="B1056" s="36" t="s">
        <v>23</v>
      </c>
      <c r="C1056" s="445">
        <v>12544</v>
      </c>
      <c r="D1056" s="444">
        <v>-86751</v>
      </c>
    </row>
    <row r="1057" spans="2:4" ht="20.149999999999999" customHeight="1" x14ac:dyDescent="0.35">
      <c r="B1057" s="36"/>
      <c r="C1057" s="30"/>
      <c r="D1057" s="32"/>
    </row>
    <row r="1058" spans="2:4" ht="25" customHeight="1" x14ac:dyDescent="0.35">
      <c r="B1058" s="42" t="s">
        <v>376</v>
      </c>
      <c r="C1058" s="66">
        <f>IFERROR(SUM(C1045,C1036,C1021),0)</f>
        <v>1302137</v>
      </c>
      <c r="D1058" s="66">
        <f>IFERROR(SUM(D1045,D1036,D1021),0)</f>
        <v>1382742</v>
      </c>
    </row>
    <row r="1059" spans="2:4" ht="20.149999999999999" customHeight="1" x14ac:dyDescent="0.35">
      <c r="C1059" s="30"/>
      <c r="D1059" s="32"/>
    </row>
    <row r="1060" spans="2:4" ht="20.149999999999999" customHeight="1" x14ac:dyDescent="0.35">
      <c r="B1060" s="36" t="s">
        <v>414</v>
      </c>
      <c r="C1060" s="30">
        <v>-731850</v>
      </c>
      <c r="D1060" s="32">
        <v>-425496</v>
      </c>
    </row>
    <row r="1061" spans="2:4" ht="20.149999999999999" customHeight="1" x14ac:dyDescent="0.35">
      <c r="B1061" s="36" t="s">
        <v>415</v>
      </c>
      <c r="C1061" s="30">
        <v>-8387</v>
      </c>
      <c r="D1061" s="32">
        <v>-636</v>
      </c>
    </row>
    <row r="1062" spans="2:4" ht="20.149999999999999" customHeight="1" x14ac:dyDescent="0.35">
      <c r="B1062" s="36" t="s">
        <v>377</v>
      </c>
      <c r="C1062" s="32">
        <v>165156</v>
      </c>
      <c r="D1062" s="32">
        <v>108503</v>
      </c>
    </row>
    <row r="1063" spans="2:4" ht="20.149999999999999" customHeight="1" x14ac:dyDescent="0.35">
      <c r="B1063" s="36" t="s">
        <v>381</v>
      </c>
      <c r="C1063" s="30">
        <v>-16268</v>
      </c>
      <c r="D1063" s="32">
        <v>-110992</v>
      </c>
    </row>
    <row r="1064" spans="2:4" ht="20.149999999999999" customHeight="1" x14ac:dyDescent="0.35">
      <c r="B1064" s="36"/>
      <c r="C1064" s="30"/>
      <c r="D1064" s="32"/>
    </row>
    <row r="1065" spans="2:4" ht="25" customHeight="1" x14ac:dyDescent="0.35">
      <c r="B1065" s="42" t="s">
        <v>383</v>
      </c>
      <c r="C1065" s="66">
        <f>IFERROR(SUM(C1058:C1063),0)</f>
        <v>710788</v>
      </c>
      <c r="D1065" s="66">
        <f>IFERROR(SUM(D1058:D1063),0)</f>
        <v>954121</v>
      </c>
    </row>
    <row r="1066" spans="2:4" ht="20.149999999999999" customHeight="1" x14ac:dyDescent="0.35">
      <c r="B1066" s="18"/>
      <c r="C1066" s="30"/>
      <c r="D1066" s="32"/>
    </row>
    <row r="1067" spans="2:4" ht="30" customHeight="1" x14ac:dyDescent="0.35">
      <c r="B1067" s="211" t="s">
        <v>339</v>
      </c>
      <c r="C1067" s="167"/>
      <c r="D1067" s="164"/>
    </row>
    <row r="1068" spans="2:4" ht="20.149999999999999" customHeight="1" x14ac:dyDescent="0.35">
      <c r="B1068" s="36" t="s">
        <v>416</v>
      </c>
      <c r="C1068" s="445">
        <v>-4163093</v>
      </c>
      <c r="D1068" s="444">
        <v>-6700421</v>
      </c>
    </row>
    <row r="1069" spans="2:4" ht="20.149999999999999" customHeight="1" x14ac:dyDescent="0.35">
      <c r="B1069" s="36" t="s">
        <v>417</v>
      </c>
      <c r="C1069" s="445">
        <v>4226299</v>
      </c>
      <c r="D1069" s="444">
        <v>6300685</v>
      </c>
    </row>
    <row r="1070" spans="2:4" ht="20.149999999999999" customHeight="1" x14ac:dyDescent="0.35">
      <c r="B1070" s="36" t="s">
        <v>395</v>
      </c>
      <c r="C1070" s="445">
        <v>-50892</v>
      </c>
      <c r="D1070" s="444">
        <v>-65951</v>
      </c>
    </row>
    <row r="1071" spans="2:4" ht="20.149999999999999" customHeight="1" x14ac:dyDescent="0.35">
      <c r="B1071" s="36" t="s">
        <v>847</v>
      </c>
      <c r="C1071" s="445">
        <v>-2809370</v>
      </c>
      <c r="D1071" s="444">
        <v>-2171906</v>
      </c>
    </row>
    <row r="1072" spans="2:4" ht="20.149999999999999" customHeight="1" x14ac:dyDescent="0.35">
      <c r="B1072" s="36" t="s">
        <v>386</v>
      </c>
      <c r="C1072" s="444">
        <v>-909834</v>
      </c>
      <c r="D1072" s="444">
        <v>-911134</v>
      </c>
    </row>
    <row r="1073" spans="2:4" ht="20.149999999999999" customHeight="1" x14ac:dyDescent="0.35">
      <c r="B1073" s="36" t="s">
        <v>387</v>
      </c>
      <c r="C1073" s="444">
        <v>1045037</v>
      </c>
      <c r="D1073" s="444">
        <v>1092834</v>
      </c>
    </row>
    <row r="1074" spans="2:4" ht="20.149999999999999" customHeight="1" x14ac:dyDescent="0.35">
      <c r="B1074" s="36" t="s">
        <v>91</v>
      </c>
      <c r="C1074" s="444">
        <v>26191</v>
      </c>
      <c r="D1074" s="444">
        <v>0</v>
      </c>
    </row>
    <row r="1075" spans="2:4" ht="20.149999999999999" customHeight="1" x14ac:dyDescent="0.35"/>
    <row r="1076" spans="2:4" ht="25" customHeight="1" x14ac:dyDescent="0.35">
      <c r="B1076" s="68" t="s">
        <v>398</v>
      </c>
      <c r="C1076" s="66">
        <f>IFERROR(SUM(C1068:C1074),0)</f>
        <v>-2635662</v>
      </c>
      <c r="D1076" s="66">
        <f>IFERROR(SUM(D1068:D1074),0)</f>
        <v>-2455893</v>
      </c>
    </row>
    <row r="1077" spans="2:4" ht="20.149999999999999" customHeight="1" x14ac:dyDescent="0.35">
      <c r="B1077" s="36"/>
      <c r="C1077" s="32"/>
      <c r="D1077" s="32"/>
    </row>
    <row r="1078" spans="2:4" ht="30" customHeight="1" x14ac:dyDescent="0.35">
      <c r="B1078" s="211" t="s">
        <v>340</v>
      </c>
      <c r="C1078" s="167"/>
      <c r="D1078" s="164"/>
    </row>
    <row r="1079" spans="2:4" ht="20.149999999999999" customHeight="1" x14ac:dyDescent="0.35">
      <c r="B1079" s="36" t="s">
        <v>418</v>
      </c>
      <c r="C1079" s="32">
        <v>2579655</v>
      </c>
      <c r="D1079" s="32">
        <v>4343302</v>
      </c>
    </row>
    <row r="1080" spans="2:4" ht="20.149999999999999" customHeight="1" x14ac:dyDescent="0.35">
      <c r="B1080" s="36" t="s">
        <v>419</v>
      </c>
      <c r="C1080" s="32">
        <v>-25259</v>
      </c>
      <c r="D1080" s="32">
        <v>-29925</v>
      </c>
    </row>
    <row r="1081" spans="2:4" ht="20.149999999999999" customHeight="1" x14ac:dyDescent="0.35">
      <c r="B1081" s="54" t="s">
        <v>420</v>
      </c>
      <c r="C1081" s="50">
        <v>-2098565</v>
      </c>
      <c r="D1081" s="50">
        <v>-2368868</v>
      </c>
    </row>
    <row r="1082" spans="2:4" ht="20.149999999999999" customHeight="1" x14ac:dyDescent="0.35">
      <c r="B1082" s="54" t="s">
        <v>400</v>
      </c>
      <c r="C1082" s="67">
        <v>0</v>
      </c>
      <c r="D1082" s="50">
        <v>-282104</v>
      </c>
    </row>
    <row r="1083" spans="2:4" ht="20.149999999999999" customHeight="1" x14ac:dyDescent="0.35">
      <c r="B1083" s="54" t="s">
        <v>324</v>
      </c>
      <c r="C1083" s="30">
        <v>500000</v>
      </c>
      <c r="D1083" s="32">
        <v>0</v>
      </c>
    </row>
    <row r="1084" spans="2:4" ht="20.149999999999999" customHeight="1" x14ac:dyDescent="0.35">
      <c r="B1084" s="36" t="s">
        <v>834</v>
      </c>
      <c r="C1084" s="445">
        <v>709761</v>
      </c>
      <c r="D1084" s="444">
        <v>0</v>
      </c>
    </row>
    <row r="1085" spans="2:4" ht="20.149999999999999" customHeight="1" x14ac:dyDescent="0.35">
      <c r="B1085" s="434"/>
      <c r="C1085" s="30"/>
      <c r="D1085" s="32"/>
    </row>
    <row r="1086" spans="2:4" ht="25" customHeight="1" x14ac:dyDescent="0.35">
      <c r="B1086" s="68" t="s">
        <v>403</v>
      </c>
      <c r="C1086" s="66">
        <f>IFERROR(SUM(C1079:C1084),0)</f>
        <v>1665592</v>
      </c>
      <c r="D1086" s="66">
        <f>IFERROR(SUM(D1079:D1084),0)</f>
        <v>1662405</v>
      </c>
    </row>
    <row r="1087" spans="2:4" ht="20.149999999999999" customHeight="1" x14ac:dyDescent="0.35">
      <c r="B1087" s="68"/>
      <c r="C1087" s="30"/>
      <c r="D1087" s="32"/>
    </row>
    <row r="1088" spans="2:4" ht="30" customHeight="1" x14ac:dyDescent="0.35">
      <c r="B1088" s="211" t="s">
        <v>341</v>
      </c>
      <c r="C1088" s="167">
        <f>IFERROR(SUM(C1086,C1076,C1065),0)</f>
        <v>-259282</v>
      </c>
      <c r="D1088" s="167">
        <f>IFERROR(SUM(D1086,D1076,D1065),0)</f>
        <v>160633</v>
      </c>
    </row>
    <row r="1089" spans="2:4" ht="20.149999999999999" customHeight="1" x14ac:dyDescent="0.35">
      <c r="B1089" s="36"/>
      <c r="C1089" s="30"/>
      <c r="D1089" s="32"/>
    </row>
    <row r="1090" spans="2:4" ht="20.149999999999999" customHeight="1" x14ac:dyDescent="0.35">
      <c r="B1090" s="36" t="s">
        <v>404</v>
      </c>
      <c r="C1090" s="30">
        <v>918869</v>
      </c>
      <c r="D1090" s="32">
        <v>951779</v>
      </c>
    </row>
    <row r="1091" spans="2:4" ht="20.149999999999999" customHeight="1" x14ac:dyDescent="0.35">
      <c r="B1091" s="36" t="s">
        <v>405</v>
      </c>
      <c r="C1091" s="30">
        <v>659587</v>
      </c>
      <c r="D1091" s="32">
        <v>1112412</v>
      </c>
    </row>
    <row r="1092" spans="2:4" ht="20.149999999999999" customHeight="1" x14ac:dyDescent="0.35"/>
    <row r="1093" spans="2:4" ht="30" customHeight="1" x14ac:dyDescent="0.35">
      <c r="B1093" s="211" t="s">
        <v>342</v>
      </c>
      <c r="C1093" s="167">
        <f>IFERROR(C1091-C1090,0)</f>
        <v>-259282</v>
      </c>
      <c r="D1093" s="167">
        <f>IFERROR(D1091-D1090,0)</f>
        <v>160633</v>
      </c>
    </row>
    <row r="2019" spans="2:4" ht="45" customHeight="1" x14ac:dyDescent="0.35">
      <c r="B2019" s="478" t="s">
        <v>337</v>
      </c>
      <c r="C2019" s="478"/>
      <c r="D2019" s="478"/>
    </row>
    <row r="2020" spans="2:4" ht="10" customHeight="1" x14ac:dyDescent="0.35"/>
    <row r="2021" spans="2:4" ht="40" customHeight="1" x14ac:dyDescent="0.35">
      <c r="B2021" s="112" t="s">
        <v>117</v>
      </c>
      <c r="C2021" s="117"/>
      <c r="D2021" s="114"/>
    </row>
    <row r="2022" spans="2:4" ht="14.5" customHeight="1" x14ac:dyDescent="0.35">
      <c r="D2022" s="15" t="s">
        <v>25</v>
      </c>
    </row>
    <row r="2023" spans="2:4" ht="30" customHeight="1" x14ac:dyDescent="0.35">
      <c r="B2023" s="211" t="s">
        <v>338</v>
      </c>
      <c r="C2023" s="167" t="s">
        <v>246</v>
      </c>
      <c r="D2023" s="164" t="s">
        <v>249</v>
      </c>
    </row>
    <row r="2024" spans="2:4" ht="25" customHeight="1" x14ac:dyDescent="0.35">
      <c r="B2024" s="42" t="s">
        <v>232</v>
      </c>
      <c r="C2024" s="46">
        <v>662310</v>
      </c>
      <c r="D2024" s="46">
        <v>883397</v>
      </c>
    </row>
    <row r="2025" spans="2:4" ht="20.149999999999999" customHeight="1" x14ac:dyDescent="0.35">
      <c r="B2025" s="42"/>
      <c r="C2025" s="46"/>
      <c r="D2025" s="46"/>
    </row>
    <row r="2026" spans="2:4" ht="25" customHeight="1" x14ac:dyDescent="0.35">
      <c r="B2026" s="42" t="s">
        <v>406</v>
      </c>
      <c r="C2026" s="46">
        <f>IFERROR(SUM(C2027:C2038,C2024),0)</f>
        <v>554288</v>
      </c>
      <c r="D2026" s="46">
        <f>IFERROR(SUM(D2027:D2038,D2024),0)</f>
        <v>798525</v>
      </c>
    </row>
    <row r="2027" spans="2:4" ht="20.149999999999999" customHeight="1" x14ac:dyDescent="0.35">
      <c r="B2027" s="49" t="s">
        <v>79</v>
      </c>
      <c r="C2027" s="76">
        <v>192407</v>
      </c>
      <c r="D2027" s="32">
        <v>166498</v>
      </c>
    </row>
    <row r="2028" spans="2:4" ht="20.149999999999999" customHeight="1" x14ac:dyDescent="0.35">
      <c r="B2028" s="49" t="s">
        <v>421</v>
      </c>
      <c r="C2028" s="76">
        <v>7514</v>
      </c>
      <c r="D2028" s="32">
        <v>26338</v>
      </c>
    </row>
    <row r="2029" spans="2:4" ht="20.149999999999999" customHeight="1" x14ac:dyDescent="0.35">
      <c r="B2029" s="49" t="s">
        <v>355</v>
      </c>
      <c r="C2029" s="76">
        <v>-822564</v>
      </c>
      <c r="D2029" s="32">
        <v>-737271</v>
      </c>
    </row>
    <row r="2030" spans="2:4" ht="20.149999999999999" customHeight="1" x14ac:dyDescent="0.35">
      <c r="B2030" s="49" t="s">
        <v>422</v>
      </c>
      <c r="C2030" s="76">
        <v>49859</v>
      </c>
      <c r="D2030" s="32">
        <v>71069</v>
      </c>
    </row>
    <row r="2031" spans="2:4" ht="20.149999999999999" customHeight="1" x14ac:dyDescent="0.35">
      <c r="B2031" s="49" t="s">
        <v>423</v>
      </c>
      <c r="C2031" s="76">
        <v>218708</v>
      </c>
      <c r="D2031" s="32">
        <v>48804</v>
      </c>
    </row>
    <row r="2032" spans="2:4" ht="20.149999999999999" customHeight="1" x14ac:dyDescent="0.35">
      <c r="B2032" s="49" t="s">
        <v>350</v>
      </c>
      <c r="C2032" s="76">
        <v>0</v>
      </c>
      <c r="D2032" s="32">
        <v>219168</v>
      </c>
    </row>
    <row r="2033" spans="2:4" ht="20.149999999999999" customHeight="1" x14ac:dyDescent="0.35">
      <c r="B2033" s="49" t="s">
        <v>840</v>
      </c>
      <c r="C2033" s="76">
        <v>2936</v>
      </c>
      <c r="D2033" s="32">
        <v>-1417</v>
      </c>
    </row>
    <row r="2034" spans="2:4" ht="20.149999999999999" customHeight="1" x14ac:dyDescent="0.35">
      <c r="B2034" s="49" t="s">
        <v>345</v>
      </c>
      <c r="C2034" s="76">
        <v>29290</v>
      </c>
      <c r="D2034" s="32">
        <v>90127</v>
      </c>
    </row>
    <row r="2035" spans="2:4" ht="20.149999999999999" customHeight="1" x14ac:dyDescent="0.35">
      <c r="B2035" s="49" t="s">
        <v>424</v>
      </c>
      <c r="C2035" s="76">
        <v>188507</v>
      </c>
      <c r="D2035" s="32">
        <v>7032</v>
      </c>
    </row>
    <row r="2036" spans="2:4" ht="20.149999999999999" customHeight="1" x14ac:dyDescent="0.35">
      <c r="B2036" s="49" t="s">
        <v>425</v>
      </c>
      <c r="C2036" s="76">
        <v>-1130</v>
      </c>
      <c r="D2036" s="32">
        <v>0</v>
      </c>
    </row>
    <row r="2037" spans="2:4" ht="20.149999999999999" customHeight="1" x14ac:dyDescent="0.35">
      <c r="B2037" s="49" t="s">
        <v>111</v>
      </c>
      <c r="C2037" s="76">
        <v>19654</v>
      </c>
      <c r="D2037" s="32">
        <v>43582</v>
      </c>
    </row>
    <row r="2038" spans="2:4" ht="20.149999999999999" customHeight="1" x14ac:dyDescent="0.35">
      <c r="B2038" s="49" t="s">
        <v>23</v>
      </c>
      <c r="C2038" s="76">
        <v>6797</v>
      </c>
      <c r="D2038" s="32">
        <v>-18802</v>
      </c>
    </row>
    <row r="2039" spans="2:4" ht="20.149999999999999" customHeight="1" x14ac:dyDescent="0.35">
      <c r="B2039" s="49"/>
      <c r="C2039" s="76"/>
      <c r="D2039" s="32"/>
    </row>
    <row r="2040" spans="2:4" ht="25" customHeight="1" x14ac:dyDescent="0.35">
      <c r="B2040" s="42" t="s">
        <v>367</v>
      </c>
      <c r="C2040" s="46">
        <f>IFERROR(SUM(C2041:C2047),0)</f>
        <v>538082</v>
      </c>
      <c r="D2040" s="46">
        <f>IFERROR(SUM(D2041:D2047),0)</f>
        <v>518319</v>
      </c>
    </row>
    <row r="2041" spans="2:4" ht="20.149999999999999" customHeight="1" x14ac:dyDescent="0.35">
      <c r="B2041" s="36" t="s">
        <v>273</v>
      </c>
      <c r="C2041" s="76">
        <v>-19940</v>
      </c>
      <c r="D2041" s="32">
        <v>-7952</v>
      </c>
    </row>
    <row r="2042" spans="2:4" ht="20.149999999999999" customHeight="1" x14ac:dyDescent="0.35">
      <c r="B2042" s="36" t="s">
        <v>276</v>
      </c>
      <c r="C2042" s="76">
        <v>4033</v>
      </c>
      <c r="D2042" s="32">
        <v>-5142</v>
      </c>
    </row>
    <row r="2043" spans="2:4" ht="20.149999999999999" customHeight="1" x14ac:dyDescent="0.35">
      <c r="B2043" s="36" t="s">
        <v>277</v>
      </c>
      <c r="C2043" s="76">
        <v>31942</v>
      </c>
      <c r="D2043" s="32">
        <v>-21178</v>
      </c>
    </row>
    <row r="2044" spans="2:4" ht="20.149999999999999" customHeight="1" x14ac:dyDescent="0.35">
      <c r="B2044" s="36" t="s">
        <v>286</v>
      </c>
      <c r="C2044" s="76">
        <v>33748</v>
      </c>
      <c r="D2044" s="32">
        <v>-2730</v>
      </c>
    </row>
    <row r="2045" spans="2:4" ht="20.149999999999999" customHeight="1" x14ac:dyDescent="0.35">
      <c r="B2045" s="36" t="s">
        <v>426</v>
      </c>
      <c r="C2045" s="76">
        <v>11478</v>
      </c>
      <c r="D2045" s="32">
        <v>20929</v>
      </c>
    </row>
    <row r="2046" spans="2:4" ht="20.149999999999999" customHeight="1" x14ac:dyDescent="0.35">
      <c r="B2046" s="36" t="s">
        <v>427</v>
      </c>
      <c r="C2046" s="76">
        <v>503249</v>
      </c>
      <c r="D2046" s="32">
        <v>562915</v>
      </c>
    </row>
    <row r="2047" spans="2:4" ht="20.149999999999999" customHeight="1" x14ac:dyDescent="0.35">
      <c r="B2047" s="36" t="s">
        <v>428</v>
      </c>
      <c r="C2047" s="76">
        <v>-26428</v>
      </c>
      <c r="D2047" s="32">
        <v>-28523</v>
      </c>
    </row>
    <row r="2048" spans="2:4" ht="20.149999999999999" customHeight="1" x14ac:dyDescent="0.35">
      <c r="B2048" s="36"/>
      <c r="C2048" s="76"/>
      <c r="D2048" s="32"/>
    </row>
    <row r="2049" spans="2:4" ht="25" customHeight="1" x14ac:dyDescent="0.35">
      <c r="B2049" s="42" t="s">
        <v>371</v>
      </c>
      <c r="C2049" s="46">
        <f>IFERROR(SUM(C2050:C2056),0)</f>
        <v>-57394</v>
      </c>
      <c r="D2049" s="46">
        <f>IFERROR(SUM(D2050:D2056),0)</f>
        <v>4344</v>
      </c>
    </row>
    <row r="2050" spans="2:4" ht="20.149999999999999" customHeight="1" x14ac:dyDescent="0.35">
      <c r="B2050" s="36" t="s">
        <v>294</v>
      </c>
      <c r="C2050" s="76">
        <v>127295</v>
      </c>
      <c r="D2050" s="32">
        <v>150570</v>
      </c>
    </row>
    <row r="2051" spans="2:4" ht="20.149999999999999" customHeight="1" x14ac:dyDescent="0.35">
      <c r="B2051" s="36" t="s">
        <v>296</v>
      </c>
      <c r="C2051" s="76">
        <v>-62083</v>
      </c>
      <c r="D2051" s="32">
        <v>-69963</v>
      </c>
    </row>
    <row r="2052" spans="2:4" ht="20.149999999999999" customHeight="1" x14ac:dyDescent="0.35">
      <c r="B2052" s="36" t="s">
        <v>299</v>
      </c>
      <c r="C2052" s="76">
        <v>13738</v>
      </c>
      <c r="D2052" s="32">
        <v>7306</v>
      </c>
    </row>
    <row r="2053" spans="2:4" ht="20.149999999999999" customHeight="1" x14ac:dyDescent="0.35">
      <c r="B2053" s="36" t="s">
        <v>295</v>
      </c>
      <c r="C2053" s="76">
        <v>6410</v>
      </c>
      <c r="D2053" s="32">
        <v>-20435</v>
      </c>
    </row>
    <row r="2054" spans="2:4" ht="20.149999999999999" customHeight="1" x14ac:dyDescent="0.35">
      <c r="B2054" s="36" t="s">
        <v>410</v>
      </c>
      <c r="C2054" s="76">
        <v>-114079</v>
      </c>
      <c r="D2054" s="32">
        <v>-36019</v>
      </c>
    </row>
    <row r="2055" spans="2:4" ht="20.149999999999999" customHeight="1" x14ac:dyDescent="0.35">
      <c r="B2055" s="36" t="s">
        <v>429</v>
      </c>
      <c r="C2055" s="76">
        <v>-45428</v>
      </c>
      <c r="D2055" s="32">
        <v>-13491</v>
      </c>
    </row>
    <row r="2056" spans="2:4" ht="20.149999999999999" customHeight="1" x14ac:dyDescent="0.35">
      <c r="B2056" s="36" t="s">
        <v>23</v>
      </c>
      <c r="C2056" s="76">
        <v>16753</v>
      </c>
      <c r="D2056" s="32">
        <v>-13624</v>
      </c>
    </row>
    <row r="2057" spans="2:4" ht="20.149999999999999" customHeight="1" x14ac:dyDescent="0.35">
      <c r="B2057" s="36"/>
      <c r="C2057" s="30"/>
      <c r="D2057" s="32"/>
    </row>
    <row r="2058" spans="2:4" ht="25" customHeight="1" x14ac:dyDescent="0.35">
      <c r="B2058" s="42" t="s">
        <v>376</v>
      </c>
      <c r="C2058" s="66">
        <f>IFERROR(SUM(C2049,C2040,C2026),0)</f>
        <v>1034976</v>
      </c>
      <c r="D2058" s="66">
        <f>IFERROR(SUM(D2049,D2040,D2026),0)</f>
        <v>1321188</v>
      </c>
    </row>
    <row r="2059" spans="2:4" ht="20.149999999999999" customHeight="1" x14ac:dyDescent="0.35">
      <c r="B2059" s="36"/>
      <c r="C2059" s="30"/>
      <c r="D2059" s="32"/>
    </row>
    <row r="2060" spans="2:4" ht="20.149999999999999" customHeight="1" x14ac:dyDescent="0.35">
      <c r="B2060" s="36" t="s">
        <v>377</v>
      </c>
      <c r="C2060" s="30">
        <v>42570</v>
      </c>
      <c r="D2060" s="32">
        <v>54825</v>
      </c>
    </row>
    <row r="2061" spans="2:4" ht="20.149999999999999" customHeight="1" x14ac:dyDescent="0.35">
      <c r="B2061" s="36" t="s">
        <v>381</v>
      </c>
      <c r="C2061" s="32">
        <v>-76052</v>
      </c>
      <c r="D2061" s="32">
        <v>-196661</v>
      </c>
    </row>
    <row r="2062" spans="2:4" ht="20.149999999999999" customHeight="1" x14ac:dyDescent="0.35">
      <c r="B2062" s="36" t="s">
        <v>430</v>
      </c>
      <c r="C2062" s="32">
        <v>-135580</v>
      </c>
      <c r="D2062" s="32">
        <v>-61804</v>
      </c>
    </row>
    <row r="2063" spans="2:4" ht="20.149999999999999" customHeight="1" x14ac:dyDescent="0.35">
      <c r="B2063" s="36" t="s">
        <v>431</v>
      </c>
      <c r="C2063" s="30">
        <v>-3907</v>
      </c>
      <c r="D2063" s="32">
        <v>-704</v>
      </c>
    </row>
    <row r="2064" spans="2:4" ht="20.149999999999999" customHeight="1" x14ac:dyDescent="0.35">
      <c r="B2064" s="36"/>
      <c r="C2064" s="30"/>
      <c r="D2064" s="32"/>
    </row>
    <row r="2065" spans="2:4" ht="25" customHeight="1" x14ac:dyDescent="0.35">
      <c r="B2065" s="42" t="s">
        <v>383</v>
      </c>
      <c r="C2065" s="66">
        <f>IFERROR(SUM(C2058:C2063),0)</f>
        <v>862007</v>
      </c>
      <c r="D2065" s="66">
        <f>IFERROR(SUM(D2058:D2063),0)</f>
        <v>1116844</v>
      </c>
    </row>
    <row r="2066" spans="2:4" ht="20.149999999999999" customHeight="1" x14ac:dyDescent="0.35">
      <c r="B2066" s="18"/>
      <c r="C2066" s="30"/>
      <c r="D2066" s="32"/>
    </row>
    <row r="2067" spans="2:4" ht="30" customHeight="1" x14ac:dyDescent="0.35">
      <c r="B2067" s="211" t="s">
        <v>339</v>
      </c>
      <c r="C2067" s="167"/>
      <c r="D2067" s="164"/>
    </row>
    <row r="2068" spans="2:4" ht="20.149999999999999" customHeight="1" x14ac:dyDescent="0.35">
      <c r="B2068" s="36" t="s">
        <v>842</v>
      </c>
      <c r="C2068" s="30">
        <v>-4260</v>
      </c>
      <c r="D2068" s="32">
        <v>-593</v>
      </c>
    </row>
    <row r="2069" spans="2:4" ht="20.149999999999999" customHeight="1" x14ac:dyDescent="0.35">
      <c r="B2069" s="36" t="s">
        <v>432</v>
      </c>
      <c r="C2069" s="32">
        <v>-82331</v>
      </c>
      <c r="D2069" s="32">
        <v>-157942</v>
      </c>
    </row>
    <row r="2070" spans="2:4" ht="20.149999999999999" customHeight="1" x14ac:dyDescent="0.35">
      <c r="B2070" s="36" t="s">
        <v>433</v>
      </c>
      <c r="C2070" s="32">
        <v>-8151</v>
      </c>
      <c r="D2070" s="32">
        <v>-3213</v>
      </c>
    </row>
    <row r="2071" spans="2:4" ht="20.149999999999999" customHeight="1" x14ac:dyDescent="0.35">
      <c r="B2071" s="36" t="s">
        <v>416</v>
      </c>
      <c r="C2071" s="32">
        <v>-1390344</v>
      </c>
      <c r="D2071" s="32">
        <v>-2329371</v>
      </c>
    </row>
    <row r="2072" spans="2:4" ht="20.149999999999999" customHeight="1" x14ac:dyDescent="0.35">
      <c r="B2072" s="36" t="s">
        <v>434</v>
      </c>
      <c r="C2072" s="32">
        <v>1130763</v>
      </c>
      <c r="D2072" s="32">
        <v>2279764</v>
      </c>
    </row>
    <row r="2073" spans="2:4" ht="20.149999999999999" customHeight="1" x14ac:dyDescent="0.35">
      <c r="B2073" s="36" t="s">
        <v>841</v>
      </c>
      <c r="C2073" s="32">
        <v>-223204</v>
      </c>
      <c r="D2073" s="32">
        <v>0</v>
      </c>
    </row>
    <row r="2074" spans="2:4" ht="20.149999999999999" customHeight="1" x14ac:dyDescent="0.35">
      <c r="B2074" s="36"/>
      <c r="C2074" s="32"/>
      <c r="D2074" s="32"/>
    </row>
    <row r="2075" spans="2:4" ht="25" customHeight="1" x14ac:dyDescent="0.35">
      <c r="B2075" s="42" t="s">
        <v>398</v>
      </c>
      <c r="C2075" s="52">
        <f>IFERROR(SUM(C2068:C2073),0)</f>
        <v>-577527</v>
      </c>
      <c r="D2075" s="52">
        <f>IFERROR(SUM(D2068:D2073),0)</f>
        <v>-211355</v>
      </c>
    </row>
    <row r="2076" spans="2:4" ht="20.149999999999999" customHeight="1" x14ac:dyDescent="0.35">
      <c r="B2076" s="36"/>
      <c r="C2076" s="32"/>
      <c r="D2076" s="32"/>
    </row>
    <row r="2077" spans="2:4" ht="30" customHeight="1" x14ac:dyDescent="0.35">
      <c r="B2077" s="211" t="s">
        <v>340</v>
      </c>
      <c r="C2077" s="167"/>
      <c r="D2077" s="164"/>
    </row>
    <row r="2078" spans="2:4" ht="20.149999999999999" customHeight="1" x14ac:dyDescent="0.35">
      <c r="B2078" s="36" t="s">
        <v>435</v>
      </c>
      <c r="C2078" s="32">
        <v>1995501</v>
      </c>
      <c r="D2078" s="32">
        <v>621734</v>
      </c>
    </row>
    <row r="2079" spans="2:4" ht="20.149999999999999" customHeight="1" x14ac:dyDescent="0.35">
      <c r="B2079" s="36" t="s">
        <v>400</v>
      </c>
      <c r="C2079" s="32">
        <v>-1292923</v>
      </c>
      <c r="D2079" s="32">
        <v>-1494463</v>
      </c>
    </row>
    <row r="2080" spans="2:4" ht="20.149999999999999" customHeight="1" x14ac:dyDescent="0.35">
      <c r="B2080" s="54" t="s">
        <v>436</v>
      </c>
      <c r="C2080" s="67">
        <v>-5896</v>
      </c>
      <c r="D2080" s="50">
        <v>-6945</v>
      </c>
    </row>
    <row r="2081" spans="2:4" ht="20.149999999999999" customHeight="1" x14ac:dyDescent="0.35">
      <c r="B2081" s="56"/>
      <c r="C2081" s="30"/>
      <c r="D2081" s="32"/>
    </row>
    <row r="2082" spans="2:4" ht="25" customHeight="1" x14ac:dyDescent="0.35">
      <c r="B2082" s="68" t="s">
        <v>403</v>
      </c>
      <c r="C2082" s="66">
        <f>IFERROR(SUM(C2078:C2080),0)</f>
        <v>696682</v>
      </c>
      <c r="D2082" s="66">
        <f>IFERROR(SUM(D2078:D2080),0)</f>
        <v>-879674</v>
      </c>
    </row>
    <row r="2083" spans="2:4" ht="20.149999999999999" customHeight="1" x14ac:dyDescent="0.35">
      <c r="B2083" s="68"/>
      <c r="C2083" s="30"/>
      <c r="D2083" s="32"/>
    </row>
    <row r="2084" spans="2:4" ht="30" customHeight="1" x14ac:dyDescent="0.35">
      <c r="B2084" s="211" t="s">
        <v>341</v>
      </c>
      <c r="C2084" s="167">
        <f>IFERROR(SUM(C2082,C2075,C2065),0)</f>
        <v>981162</v>
      </c>
      <c r="D2084" s="167">
        <f>IFERROR(SUM(D2082,D2075,D2065),0)</f>
        <v>25815</v>
      </c>
    </row>
    <row r="2085" spans="2:4" ht="20.149999999999999" customHeight="1" x14ac:dyDescent="0.35">
      <c r="B2085" s="36"/>
      <c r="C2085" s="30"/>
      <c r="D2085" s="32"/>
    </row>
    <row r="2086" spans="2:4" ht="20.149999999999999" customHeight="1" x14ac:dyDescent="0.35">
      <c r="B2086" s="36" t="s">
        <v>404</v>
      </c>
      <c r="C2086" s="30">
        <v>226202</v>
      </c>
      <c r="D2086" s="32">
        <v>233739</v>
      </c>
    </row>
    <row r="2087" spans="2:4" ht="20.149999999999999" customHeight="1" x14ac:dyDescent="0.35">
      <c r="B2087" s="36" t="s">
        <v>405</v>
      </c>
      <c r="C2087" s="30">
        <v>1207364</v>
      </c>
      <c r="D2087" s="32">
        <v>259554</v>
      </c>
    </row>
    <row r="2088" spans="2:4" ht="20.149999999999999" customHeight="1" x14ac:dyDescent="0.35">
      <c r="B2088" s="74"/>
      <c r="C2088" s="30"/>
      <c r="D2088" s="32"/>
    </row>
    <row r="2089" spans="2:4" ht="30" customHeight="1" x14ac:dyDescent="0.35">
      <c r="B2089" s="211" t="s">
        <v>342</v>
      </c>
      <c r="C2089" s="167">
        <f>IFERROR(C2087-C2086,0)</f>
        <v>981162</v>
      </c>
      <c r="D2089" s="167">
        <f>IFERROR(D2087-D2086,0)</f>
        <v>25815</v>
      </c>
    </row>
  </sheetData>
  <mergeCells count="5">
    <mergeCell ref="BR439:CR439"/>
    <mergeCell ref="BR254:CR254"/>
    <mergeCell ref="BR256:CR256"/>
    <mergeCell ref="BR362:CR362"/>
    <mergeCell ref="B2019:D2019"/>
  </mergeCells>
  <dataValidations disablePrompts="1" count="2">
    <dataValidation type="list" allowBlank="1" showInputMessage="1" showErrorMessage="1" sqref="D1015 D2020 D5" xr:uid="{81FAC2EE-5431-4731-99F6-AB744F3F2C7D}">
      <formula1>$BT$258:$ED$258</formula1>
    </dataValidation>
    <dataValidation type="list" allowBlank="1" showInputMessage="1" showErrorMessage="1" sqref="D6" xr:uid="{A4423EED-51F3-45DF-A863-3B0B15BC31E6}">
      <formula1>$BS$258:$ED$258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0AB9-FAC3-4A04-9A15-3FAA86AB6864}">
  <sheetPr>
    <tabColor rgb="FF17772E"/>
  </sheetPr>
  <dimension ref="A4:CD936"/>
  <sheetViews>
    <sheetView showGridLines="0" zoomScaleNormal="100" workbookViewId="0"/>
  </sheetViews>
  <sheetFormatPr defaultColWidth="15.54296875" defaultRowHeight="19" customHeight="1" x14ac:dyDescent="0.35"/>
  <cols>
    <col min="1" max="1" width="2.54296875" style="1" customWidth="1"/>
    <col min="2" max="2" width="45.54296875" style="1" customWidth="1"/>
    <col min="3" max="8" width="15.54296875" style="1" customWidth="1"/>
    <col min="9" max="9" width="17.453125" style="1" customWidth="1"/>
    <col min="10" max="54" width="8.7265625" style="1" customWidth="1"/>
    <col min="55" max="55" width="37.453125" style="1" customWidth="1"/>
    <col min="56" max="68" width="15.54296875" style="1" customWidth="1"/>
    <col min="69" max="81" width="15.54296875" style="34" customWidth="1"/>
    <col min="82" max="16384" width="15.54296875" style="34"/>
  </cols>
  <sheetData>
    <row r="4" spans="2:9" s="1" customFormat="1" ht="45" customHeight="1" x14ac:dyDescent="0.35">
      <c r="B4" s="481" t="s">
        <v>437</v>
      </c>
      <c r="C4" s="481"/>
      <c r="D4" s="481"/>
      <c r="E4" s="481"/>
      <c r="F4" s="125"/>
      <c r="G4" s="125"/>
      <c r="H4" s="125"/>
      <c r="I4" s="125"/>
    </row>
    <row r="5" spans="2:9" s="1" customFormat="1" ht="15" customHeight="1" x14ac:dyDescent="0.35">
      <c r="B5" s="427" t="s">
        <v>25</v>
      </c>
      <c r="C5" s="29"/>
      <c r="D5" s="29"/>
      <c r="E5" s="29"/>
      <c r="F5" s="29"/>
      <c r="G5" s="29"/>
      <c r="H5" s="29"/>
      <c r="I5" s="29"/>
    </row>
    <row r="6" spans="2:9" s="1" customFormat="1" ht="36.65" customHeight="1" x14ac:dyDescent="0.35">
      <c r="B6" s="168" t="s">
        <v>438</v>
      </c>
      <c r="C6" s="164">
        <v>2026</v>
      </c>
      <c r="D6" s="164">
        <v>2027</v>
      </c>
      <c r="E6" s="164">
        <v>2028</v>
      </c>
      <c r="F6" s="164">
        <v>2029</v>
      </c>
      <c r="G6" s="164">
        <v>2030</v>
      </c>
      <c r="H6" s="165" t="s">
        <v>439</v>
      </c>
      <c r="I6" s="166" t="s">
        <v>440</v>
      </c>
    </row>
    <row r="7" spans="2:9" s="1" customFormat="1" ht="23.15" customHeight="1" x14ac:dyDescent="0.35">
      <c r="B7" s="217" t="s">
        <v>441</v>
      </c>
      <c r="C7" s="218"/>
      <c r="D7" s="218"/>
      <c r="E7" s="219"/>
      <c r="F7" s="219"/>
      <c r="G7" s="219"/>
      <c r="H7" s="219"/>
      <c r="I7" s="219"/>
    </row>
    <row r="8" spans="2:9" s="1" customFormat="1" ht="19" customHeight="1" x14ac:dyDescent="0.35">
      <c r="B8" s="36" t="s">
        <v>442</v>
      </c>
      <c r="C8" s="220">
        <v>230758</v>
      </c>
      <c r="D8" s="220">
        <v>1448076</v>
      </c>
      <c r="E8" s="447">
        <v>0</v>
      </c>
      <c r="F8" s="447">
        <v>0</v>
      </c>
      <c r="G8" s="447">
        <v>0</v>
      </c>
      <c r="H8" s="447">
        <v>0</v>
      </c>
      <c r="I8" s="208">
        <f>SUM(C8:H8)</f>
        <v>1678834</v>
      </c>
    </row>
    <row r="9" spans="2:9" s="1" customFormat="1" ht="19" customHeight="1" x14ac:dyDescent="0.35">
      <c r="B9" s="7" t="s">
        <v>443</v>
      </c>
      <c r="C9" s="223">
        <f>C8</f>
        <v>230758</v>
      </c>
      <c r="D9" s="223">
        <f t="shared" ref="D9:H9" si="0">D8</f>
        <v>1448076</v>
      </c>
      <c r="E9" s="223">
        <f t="shared" si="0"/>
        <v>0</v>
      </c>
      <c r="F9" s="223">
        <f t="shared" si="0"/>
        <v>0</v>
      </c>
      <c r="G9" s="223">
        <f t="shared" si="0"/>
        <v>0</v>
      </c>
      <c r="H9" s="223">
        <f t="shared" si="0"/>
        <v>0</v>
      </c>
      <c r="I9" s="224">
        <f>SUM(C9:H9)</f>
        <v>1678834</v>
      </c>
    </row>
    <row r="10" spans="2:9" s="1" customFormat="1" ht="19" customHeight="1" x14ac:dyDescent="0.35">
      <c r="B10" s="225"/>
      <c r="C10" s="226"/>
      <c r="D10" s="221"/>
      <c r="E10" s="222"/>
      <c r="F10" s="222"/>
      <c r="G10" s="222"/>
      <c r="H10" s="222"/>
      <c r="I10" s="227"/>
    </row>
    <row r="11" spans="2:9" s="1" customFormat="1" ht="23.15" customHeight="1" x14ac:dyDescent="0.35">
      <c r="B11" s="4" t="s">
        <v>444</v>
      </c>
      <c r="C11" s="226"/>
      <c r="D11" s="221"/>
      <c r="E11" s="222"/>
      <c r="F11" s="222"/>
      <c r="G11" s="222"/>
      <c r="H11" s="222"/>
      <c r="I11" s="227"/>
    </row>
    <row r="12" spans="2:9" s="1" customFormat="1" ht="19" customHeight="1" x14ac:dyDescent="0.35">
      <c r="B12" s="36" t="s">
        <v>445</v>
      </c>
      <c r="C12" s="220">
        <v>325421</v>
      </c>
      <c r="D12" s="220">
        <v>150057</v>
      </c>
      <c r="E12" s="220">
        <v>455845</v>
      </c>
      <c r="F12" s="220">
        <v>912175</v>
      </c>
      <c r="G12" s="220">
        <v>257618</v>
      </c>
      <c r="H12" s="220">
        <v>9947246</v>
      </c>
      <c r="I12" s="208">
        <f>SUM(C12:H12)</f>
        <v>12048362</v>
      </c>
    </row>
    <row r="13" spans="2:9" s="1" customFormat="1" ht="19" customHeight="1" x14ac:dyDescent="0.35">
      <c r="B13" s="36" t="s">
        <v>446</v>
      </c>
      <c r="C13" s="220">
        <v>467149</v>
      </c>
      <c r="D13" s="220">
        <v>800000</v>
      </c>
      <c r="E13" s="220">
        <v>300000</v>
      </c>
      <c r="F13" s="220">
        <v>1117333</v>
      </c>
      <c r="G13" s="220">
        <v>2384000</v>
      </c>
      <c r="H13" s="220">
        <v>3892000</v>
      </c>
      <c r="I13" s="208">
        <f>SUM(C13:H13)</f>
        <v>8960482</v>
      </c>
    </row>
    <row r="14" spans="2:9" s="1" customFormat="1" ht="19" customHeight="1" x14ac:dyDescent="0.35">
      <c r="B14" s="7" t="s">
        <v>447</v>
      </c>
      <c r="C14" s="223">
        <f>SUM(C12:C13)</f>
        <v>792570</v>
      </c>
      <c r="D14" s="223">
        <f t="shared" ref="D14:G14" si="1">SUM(D12:D13)</f>
        <v>950057</v>
      </c>
      <c r="E14" s="223">
        <f t="shared" si="1"/>
        <v>755845</v>
      </c>
      <c r="F14" s="223">
        <f t="shared" si="1"/>
        <v>2029508</v>
      </c>
      <c r="G14" s="223">
        <f t="shared" si="1"/>
        <v>2641618</v>
      </c>
      <c r="H14" s="223">
        <f>SUM(H12:H13)</f>
        <v>13839246</v>
      </c>
      <c r="I14" s="224">
        <f>SUM(C14:H14)</f>
        <v>21008844</v>
      </c>
    </row>
    <row r="15" spans="2:9" ht="19" customHeight="1" x14ac:dyDescent="0.35">
      <c r="B15" s="228"/>
      <c r="C15" s="228"/>
      <c r="D15" s="228"/>
      <c r="E15" s="228"/>
      <c r="F15" s="228"/>
      <c r="G15" s="228"/>
      <c r="H15" s="228"/>
      <c r="I15" s="228"/>
    </row>
    <row r="16" spans="2:9" s="1" customFormat="1" ht="19" customHeight="1" x14ac:dyDescent="0.35">
      <c r="B16" s="216" t="s">
        <v>448</v>
      </c>
      <c r="C16" s="220">
        <v>-3861</v>
      </c>
      <c r="D16" s="220">
        <v>-2783</v>
      </c>
      <c r="E16" s="208">
        <v>-7478</v>
      </c>
      <c r="F16" s="208">
        <v>-13031</v>
      </c>
      <c r="G16" s="208">
        <v>-10636</v>
      </c>
      <c r="H16" s="208">
        <v>-280110</v>
      </c>
      <c r="I16" s="208">
        <f>SUM(C16:H16)</f>
        <v>-317899</v>
      </c>
    </row>
    <row r="17" spans="2:9" s="1" customFormat="1" ht="19" customHeight="1" x14ac:dyDescent="0.35">
      <c r="B17" s="229" t="s">
        <v>449</v>
      </c>
      <c r="C17" s="230">
        <v>0</v>
      </c>
      <c r="D17" s="230">
        <v>0</v>
      </c>
      <c r="E17" s="231">
        <v>0</v>
      </c>
      <c r="F17" s="231">
        <v>-597</v>
      </c>
      <c r="G17" s="231">
        <v>-597</v>
      </c>
      <c r="H17" s="231">
        <v>-15876</v>
      </c>
      <c r="I17" s="231">
        <f t="shared" ref="I17" si="2">SUM(C17:H17)</f>
        <v>-17070</v>
      </c>
    </row>
    <row r="18" spans="2:9" s="1" customFormat="1" ht="28" customHeight="1" x14ac:dyDescent="0.35">
      <c r="B18" s="48" t="s">
        <v>440</v>
      </c>
      <c r="C18" s="58">
        <f>IFERROR(SUM(C9,C14,C16:C17),0)</f>
        <v>1019467</v>
      </c>
      <c r="D18" s="58">
        <f t="shared" ref="D18:I18" si="3">IFERROR(SUM(D9,D14,D16:D17),0)</f>
        <v>2395350</v>
      </c>
      <c r="E18" s="58">
        <f t="shared" si="3"/>
        <v>748367</v>
      </c>
      <c r="F18" s="58">
        <f t="shared" si="3"/>
        <v>2015880</v>
      </c>
      <c r="G18" s="58">
        <f t="shared" si="3"/>
        <v>2630385</v>
      </c>
      <c r="H18" s="58">
        <f t="shared" si="3"/>
        <v>13543260</v>
      </c>
      <c r="I18" s="58">
        <f t="shared" si="3"/>
        <v>22352709</v>
      </c>
    </row>
    <row r="19" spans="2:9" s="1" customFormat="1" ht="32.15" customHeight="1" x14ac:dyDescent="0.35">
      <c r="B19" s="74"/>
      <c r="C19" s="155"/>
      <c r="D19" s="155"/>
      <c r="E19" s="155"/>
    </row>
    <row r="20" spans="2:9" s="1" customFormat="1" ht="17.5" customHeight="1" x14ac:dyDescent="0.35">
      <c r="B20" s="494" t="s">
        <v>450</v>
      </c>
      <c r="C20" s="497" t="s">
        <v>451</v>
      </c>
      <c r="D20" s="497" t="s">
        <v>452</v>
      </c>
      <c r="E20" s="500" t="s">
        <v>441</v>
      </c>
      <c r="F20" s="503" t="s">
        <v>223</v>
      </c>
      <c r="G20" s="503"/>
      <c r="H20" s="503"/>
      <c r="I20" s="503"/>
    </row>
    <row r="21" spans="2:9" s="1" customFormat="1" ht="17.5" customHeight="1" x14ac:dyDescent="0.35">
      <c r="B21" s="495"/>
      <c r="C21" s="498"/>
      <c r="D21" s="498"/>
      <c r="E21" s="501"/>
      <c r="F21" s="504">
        <v>46203</v>
      </c>
      <c r="G21" s="504"/>
      <c r="H21" s="504"/>
      <c r="I21" s="212">
        <v>46022</v>
      </c>
    </row>
    <row r="22" spans="2:9" s="1" customFormat="1" ht="17.5" customHeight="1" x14ac:dyDescent="0.35">
      <c r="B22" s="496"/>
      <c r="C22" s="499"/>
      <c r="D22" s="499"/>
      <c r="E22" s="502"/>
      <c r="F22" s="171" t="s">
        <v>453</v>
      </c>
      <c r="G22" s="170" t="s">
        <v>454</v>
      </c>
      <c r="H22" s="170" t="s">
        <v>143</v>
      </c>
      <c r="I22" s="172" t="s">
        <v>143</v>
      </c>
    </row>
    <row r="23" spans="2:9" s="1" customFormat="1" ht="28" customHeight="1" x14ac:dyDescent="0.35">
      <c r="B23" s="178" t="s">
        <v>455</v>
      </c>
      <c r="C23" s="58"/>
      <c r="D23" s="58"/>
      <c r="E23" s="156"/>
      <c r="F23" s="48">
        <f>SUM(F27,F25)</f>
        <v>230758</v>
      </c>
      <c r="G23" s="48">
        <f>SUM(G27,G25)</f>
        <v>1448076</v>
      </c>
      <c r="H23" s="48">
        <f>SUM(F23:G23)</f>
        <v>1678834</v>
      </c>
      <c r="I23" s="48">
        <f>I27</f>
        <v>224181</v>
      </c>
    </row>
    <row r="24" spans="2:9" s="1" customFormat="1" ht="25" customHeight="1" x14ac:dyDescent="0.35">
      <c r="B24" s="159" t="s">
        <v>461</v>
      </c>
      <c r="C24" s="154"/>
      <c r="D24" s="154"/>
      <c r="E24" s="153"/>
      <c r="F24" s="162"/>
      <c r="G24" s="162"/>
      <c r="H24" s="162"/>
      <c r="I24" s="162"/>
    </row>
    <row r="25" spans="2:9" s="1" customFormat="1" ht="20.149999999999999" customHeight="1" x14ac:dyDescent="0.35">
      <c r="B25" s="49" t="s">
        <v>457</v>
      </c>
      <c r="C25" s="174">
        <v>2027</v>
      </c>
      <c r="D25" s="175" t="s">
        <v>812</v>
      </c>
      <c r="E25" s="175" t="s">
        <v>459</v>
      </c>
      <c r="F25" s="177">
        <v>15610</v>
      </c>
      <c r="G25" s="76">
        <v>1448076</v>
      </c>
      <c r="H25" s="76">
        <f>SUM(F25:G25)</f>
        <v>1463686</v>
      </c>
      <c r="I25" s="76"/>
    </row>
    <row r="26" spans="2:9" s="1" customFormat="1" ht="25" customHeight="1" x14ac:dyDescent="0.35">
      <c r="B26" s="159" t="s">
        <v>456</v>
      </c>
      <c r="C26" s="154"/>
      <c r="D26" s="154"/>
      <c r="E26" s="153"/>
      <c r="F26" s="162"/>
      <c r="G26" s="162"/>
      <c r="H26" s="162"/>
      <c r="I26" s="162"/>
    </row>
    <row r="27" spans="2:9" s="1" customFormat="1" ht="20.149999999999999" customHeight="1" x14ac:dyDescent="0.35">
      <c r="B27" s="49" t="s">
        <v>457</v>
      </c>
      <c r="C27" s="174">
        <v>2026</v>
      </c>
      <c r="D27" s="175" t="s">
        <v>458</v>
      </c>
      <c r="E27" s="175" t="s">
        <v>459</v>
      </c>
      <c r="F27" s="177">
        <v>215148</v>
      </c>
      <c r="G27" s="153">
        <v>0</v>
      </c>
      <c r="H27" s="76">
        <f>SUM(F27:G27)</f>
        <v>215148</v>
      </c>
      <c r="I27" s="76">
        <v>224181</v>
      </c>
    </row>
    <row r="28" spans="2:9" s="1" customFormat="1" ht="28" customHeight="1" x14ac:dyDescent="0.35">
      <c r="B28" s="178" t="s">
        <v>460</v>
      </c>
      <c r="C28" s="173"/>
      <c r="D28" s="173"/>
      <c r="E28" s="176"/>
      <c r="F28" s="58">
        <f>SUM(F29,F46,F51,F59:F60)</f>
        <v>1288422</v>
      </c>
      <c r="G28" s="58">
        <f>SUM(G29,G46,G51,G59:G60)</f>
        <v>19385453</v>
      </c>
      <c r="H28" s="58">
        <f>SUM(H29,H46,H51,H59:H60)</f>
        <v>20673875</v>
      </c>
      <c r="I28" s="58">
        <f>SUM(I29,I46,I51,I59:I60)</f>
        <v>19241150</v>
      </c>
    </row>
    <row r="29" spans="2:9" s="85" customFormat="1" ht="25" customHeight="1" x14ac:dyDescent="0.35">
      <c r="B29" s="159" t="s">
        <v>461</v>
      </c>
      <c r="C29" s="154"/>
      <c r="D29" s="154"/>
      <c r="E29" s="175"/>
      <c r="F29" s="46">
        <f>SUM(F30:F44)</f>
        <v>829962</v>
      </c>
      <c r="G29" s="46">
        <f>SUM(G30:G44)</f>
        <v>13627374</v>
      </c>
      <c r="H29" s="46">
        <f>SUM(H30:H44)</f>
        <v>14457336</v>
      </c>
      <c r="I29" s="46">
        <f>SUM(I30:I44)</f>
        <v>15132733</v>
      </c>
    </row>
    <row r="30" spans="2:9" s="85" customFormat="1" ht="20.149999999999999" customHeight="1" x14ac:dyDescent="0.35">
      <c r="B30" s="49" t="s">
        <v>462</v>
      </c>
      <c r="C30" s="269">
        <v>2026</v>
      </c>
      <c r="D30" s="270" t="s">
        <v>463</v>
      </c>
      <c r="E30" s="271" t="s">
        <v>464</v>
      </c>
      <c r="F30" s="272">
        <v>0</v>
      </c>
      <c r="G30" s="272">
        <v>0</v>
      </c>
      <c r="H30" s="272">
        <v>0</v>
      </c>
      <c r="I30" s="272">
        <v>1067120</v>
      </c>
    </row>
    <row r="31" spans="2:9" s="1" customFormat="1" ht="20.149999999999999" customHeight="1" x14ac:dyDescent="0.35">
      <c r="B31" s="36" t="s">
        <v>465</v>
      </c>
      <c r="C31" s="273">
        <v>2027</v>
      </c>
      <c r="D31" s="226" t="s">
        <v>466</v>
      </c>
      <c r="E31" s="274" t="s">
        <v>464</v>
      </c>
      <c r="F31" s="208">
        <v>503204</v>
      </c>
      <c r="G31" s="208">
        <v>0</v>
      </c>
      <c r="H31" s="208">
        <v>503204</v>
      </c>
      <c r="I31" s="208">
        <v>503335</v>
      </c>
    </row>
    <row r="32" spans="2:9" s="1" customFormat="1" ht="20.149999999999999" customHeight="1" x14ac:dyDescent="0.35">
      <c r="B32" s="36" t="s">
        <v>467</v>
      </c>
      <c r="C32" s="273">
        <v>2029</v>
      </c>
      <c r="D32" s="226" t="s">
        <v>468</v>
      </c>
      <c r="E32" s="274" t="s">
        <v>464</v>
      </c>
      <c r="F32" s="208">
        <v>1539</v>
      </c>
      <c r="G32" s="208">
        <v>597286</v>
      </c>
      <c r="H32" s="208">
        <v>598825</v>
      </c>
      <c r="I32" s="208">
        <v>580800</v>
      </c>
    </row>
    <row r="33" spans="2:9" s="1" customFormat="1" ht="20.149999999999999" customHeight="1" x14ac:dyDescent="0.35">
      <c r="B33" s="36" t="s">
        <v>469</v>
      </c>
      <c r="C33" s="273">
        <v>2026</v>
      </c>
      <c r="D33" s="226" t="s">
        <v>470</v>
      </c>
      <c r="E33" s="274" t="s">
        <v>464</v>
      </c>
      <c r="F33" s="208">
        <v>0</v>
      </c>
      <c r="G33" s="208">
        <v>0</v>
      </c>
      <c r="H33" s="208">
        <v>0</v>
      </c>
      <c r="I33" s="208">
        <v>1019131</v>
      </c>
    </row>
    <row r="34" spans="2:9" s="1" customFormat="1" ht="20.149999999999999" customHeight="1" x14ac:dyDescent="0.35">
      <c r="B34" s="36" t="s">
        <v>471</v>
      </c>
      <c r="C34" s="273">
        <v>2029</v>
      </c>
      <c r="D34" s="226" t="s">
        <v>472</v>
      </c>
      <c r="E34" s="274" t="s">
        <v>464</v>
      </c>
      <c r="F34" s="208">
        <v>21110</v>
      </c>
      <c r="G34" s="208">
        <v>400000</v>
      </c>
      <c r="H34" s="208">
        <v>421110</v>
      </c>
      <c r="I34" s="208">
        <v>423017</v>
      </c>
    </row>
    <row r="35" spans="2:9" s="1" customFormat="1" ht="20.149999999999999" customHeight="1" x14ac:dyDescent="0.35">
      <c r="B35" s="36" t="s">
        <v>473</v>
      </c>
      <c r="C35" s="273">
        <v>2034</v>
      </c>
      <c r="D35" s="226" t="s">
        <v>474</v>
      </c>
      <c r="E35" s="274" t="s">
        <v>464</v>
      </c>
      <c r="F35" s="208">
        <v>38382</v>
      </c>
      <c r="G35" s="208">
        <v>1782438</v>
      </c>
      <c r="H35" s="208">
        <v>1820820</v>
      </c>
      <c r="I35" s="208">
        <v>1768109</v>
      </c>
    </row>
    <row r="36" spans="2:9" s="1" customFormat="1" ht="20.149999999999999" customHeight="1" x14ac:dyDescent="0.35">
      <c r="B36" s="36" t="s">
        <v>475</v>
      </c>
      <c r="C36" s="273">
        <v>2031</v>
      </c>
      <c r="D36" s="226" t="s">
        <v>476</v>
      </c>
      <c r="E36" s="274" t="s">
        <v>464</v>
      </c>
      <c r="F36" s="208">
        <v>41050</v>
      </c>
      <c r="G36" s="208">
        <v>1000000</v>
      </c>
      <c r="H36" s="208">
        <v>1041050</v>
      </c>
      <c r="I36" s="208">
        <v>1043906</v>
      </c>
    </row>
    <row r="37" spans="2:9" s="1" customFormat="1" ht="20.149999999999999" customHeight="1" x14ac:dyDescent="0.35">
      <c r="B37" s="36" t="s">
        <v>477</v>
      </c>
      <c r="C37" s="273">
        <v>2036</v>
      </c>
      <c r="D37" s="226" t="s">
        <v>478</v>
      </c>
      <c r="E37" s="274" t="s">
        <v>464</v>
      </c>
      <c r="F37" s="208">
        <v>30156</v>
      </c>
      <c r="G37" s="208">
        <v>1641956</v>
      </c>
      <c r="H37" s="208">
        <v>1672112</v>
      </c>
      <c r="I37" s="208">
        <v>1622148</v>
      </c>
    </row>
    <row r="38" spans="2:9" s="1" customFormat="1" ht="20.149999999999999" customHeight="1" x14ac:dyDescent="0.35">
      <c r="B38" s="36" t="s">
        <v>479</v>
      </c>
      <c r="C38" s="273">
        <v>2032</v>
      </c>
      <c r="D38" s="226" t="s">
        <v>480</v>
      </c>
      <c r="E38" s="274" t="s">
        <v>464</v>
      </c>
      <c r="F38" s="208">
        <v>68824</v>
      </c>
      <c r="G38" s="208">
        <v>1640000</v>
      </c>
      <c r="H38" s="208">
        <v>1708824</v>
      </c>
      <c r="I38" s="208">
        <v>1713575</v>
      </c>
    </row>
    <row r="39" spans="2:9" s="1" customFormat="1" ht="20.149999999999999" customHeight="1" x14ac:dyDescent="0.35">
      <c r="B39" s="36" t="s">
        <v>481</v>
      </c>
      <c r="C39" s="273">
        <v>2040</v>
      </c>
      <c r="D39" s="226" t="s">
        <v>482</v>
      </c>
      <c r="E39" s="274" t="s">
        <v>464</v>
      </c>
      <c r="F39" s="208">
        <v>19149</v>
      </c>
      <c r="G39" s="208">
        <v>911661</v>
      </c>
      <c r="H39" s="208">
        <v>930810</v>
      </c>
      <c r="I39" s="208">
        <v>903363</v>
      </c>
    </row>
    <row r="40" spans="2:9" s="1" customFormat="1" ht="20.149999999999999" customHeight="1" x14ac:dyDescent="0.35">
      <c r="B40" s="36" t="s">
        <v>483</v>
      </c>
      <c r="C40" s="273">
        <v>2030</v>
      </c>
      <c r="D40" s="226" t="s">
        <v>484</v>
      </c>
      <c r="E40" s="274" t="s">
        <v>464</v>
      </c>
      <c r="F40" s="208">
        <v>33085</v>
      </c>
      <c r="G40" s="208">
        <v>1143000</v>
      </c>
      <c r="H40" s="208">
        <v>1176085</v>
      </c>
      <c r="I40" s="208">
        <v>1178461</v>
      </c>
    </row>
    <row r="41" spans="2:9" s="1" customFormat="1" ht="20.149999999999999" customHeight="1" x14ac:dyDescent="0.35">
      <c r="B41" s="36" t="s">
        <v>485</v>
      </c>
      <c r="C41" s="273">
        <v>2032</v>
      </c>
      <c r="D41" s="226" t="s">
        <v>486</v>
      </c>
      <c r="E41" s="274" t="s">
        <v>464</v>
      </c>
      <c r="F41" s="208">
        <v>22016</v>
      </c>
      <c r="G41" s="208">
        <v>752000</v>
      </c>
      <c r="H41" s="208">
        <v>774016</v>
      </c>
      <c r="I41" s="208">
        <v>775590</v>
      </c>
    </row>
    <row r="42" spans="2:9" s="1" customFormat="1" ht="20.149999999999999" customHeight="1" x14ac:dyDescent="0.35">
      <c r="B42" s="36" t="s">
        <v>487</v>
      </c>
      <c r="C42" s="273">
        <v>2037</v>
      </c>
      <c r="D42" s="226" t="s">
        <v>488</v>
      </c>
      <c r="E42" s="274" t="s">
        <v>464</v>
      </c>
      <c r="F42" s="208">
        <v>27757</v>
      </c>
      <c r="G42" s="208">
        <v>2074527</v>
      </c>
      <c r="H42" s="208">
        <v>2102284</v>
      </c>
      <c r="I42" s="208">
        <v>2027403</v>
      </c>
    </row>
    <row r="43" spans="2:9" s="1" customFormat="1" ht="20.149999999999999" customHeight="1" x14ac:dyDescent="0.35">
      <c r="B43" s="36" t="s">
        <v>489</v>
      </c>
      <c r="C43" s="273">
        <v>2040</v>
      </c>
      <c r="D43" s="226" t="s">
        <v>490</v>
      </c>
      <c r="E43" s="274" t="s">
        <v>464</v>
      </c>
      <c r="F43" s="208">
        <v>6802</v>
      </c>
      <c r="G43" s="208">
        <v>518631</v>
      </c>
      <c r="H43" s="208">
        <v>525433</v>
      </c>
      <c r="I43" s="208">
        <v>506775</v>
      </c>
    </row>
    <row r="44" spans="2:9" s="1" customFormat="1" ht="20.149999999999999" customHeight="1" x14ac:dyDescent="0.35">
      <c r="B44" s="6" t="s">
        <v>813</v>
      </c>
      <c r="C44" s="273" t="s">
        <v>814</v>
      </c>
      <c r="D44" s="226" t="s">
        <v>815</v>
      </c>
      <c r="E44" s="274" t="s">
        <v>816</v>
      </c>
      <c r="F44" s="208">
        <v>16888</v>
      </c>
      <c r="G44" s="208">
        <v>1165875</v>
      </c>
      <c r="H44" s="208">
        <v>1182763</v>
      </c>
      <c r="I44" s="208">
        <v>0</v>
      </c>
    </row>
    <row r="45" spans="2:9" s="1" customFormat="1" ht="20.149999999999999" customHeight="1" x14ac:dyDescent="0.35">
      <c r="B45" s="36"/>
      <c r="C45" s="273"/>
      <c r="D45" s="226"/>
      <c r="E45" s="274"/>
      <c r="F45" s="208"/>
      <c r="G45" s="208"/>
      <c r="H45" s="208"/>
      <c r="I45" s="208"/>
    </row>
    <row r="46" spans="2:9" s="1" customFormat="1" ht="25" customHeight="1" x14ac:dyDescent="0.35">
      <c r="B46" s="4" t="s">
        <v>491</v>
      </c>
      <c r="C46" s="273"/>
      <c r="D46" s="226"/>
      <c r="E46" s="274"/>
      <c r="F46" s="203">
        <f>SUM(F47:F49)</f>
        <v>164130</v>
      </c>
      <c r="G46" s="203">
        <f t="shared" ref="G46:I46" si="4">SUM(G47:G49)</f>
        <v>1318757</v>
      </c>
      <c r="H46" s="203">
        <f>SUM(H47:H49)</f>
        <v>1482887</v>
      </c>
      <c r="I46" s="203">
        <f t="shared" si="4"/>
        <v>1439368</v>
      </c>
    </row>
    <row r="47" spans="2:9" s="1" customFormat="1" ht="20.149999999999999" customHeight="1" x14ac:dyDescent="0.35">
      <c r="B47" s="36" t="s">
        <v>492</v>
      </c>
      <c r="C47" s="273">
        <v>2031</v>
      </c>
      <c r="D47" s="226" t="s">
        <v>493</v>
      </c>
      <c r="E47" s="274" t="s">
        <v>464</v>
      </c>
      <c r="F47" s="208">
        <v>160504</v>
      </c>
      <c r="G47" s="208">
        <v>807449</v>
      </c>
      <c r="H47" s="208">
        <v>967953</v>
      </c>
      <c r="I47" s="208">
        <v>936126</v>
      </c>
    </row>
    <row r="48" spans="2:9" s="1" customFormat="1" ht="20.149999999999999" customHeight="1" x14ac:dyDescent="0.35">
      <c r="B48" s="36" t="s">
        <v>469</v>
      </c>
      <c r="C48" s="273">
        <v>2029</v>
      </c>
      <c r="D48" s="226" t="s">
        <v>494</v>
      </c>
      <c r="E48" s="274" t="s">
        <v>464</v>
      </c>
      <c r="F48" s="208">
        <v>1205</v>
      </c>
      <c r="G48" s="208">
        <v>200000</v>
      </c>
      <c r="H48" s="208">
        <v>201205</v>
      </c>
      <c r="I48" s="208">
        <v>201257</v>
      </c>
    </row>
    <row r="49" spans="2:9" s="1" customFormat="1" ht="20.149999999999999" customHeight="1" x14ac:dyDescent="0.35">
      <c r="B49" s="6" t="s">
        <v>495</v>
      </c>
      <c r="C49" s="273">
        <v>2035</v>
      </c>
      <c r="D49" s="226" t="s">
        <v>496</v>
      </c>
      <c r="E49" s="274" t="s">
        <v>464</v>
      </c>
      <c r="F49" s="208">
        <v>2421</v>
      </c>
      <c r="G49" s="208">
        <v>311308</v>
      </c>
      <c r="H49" s="208">
        <v>313729</v>
      </c>
      <c r="I49" s="208">
        <v>301985</v>
      </c>
    </row>
    <row r="50" spans="2:9" ht="20.149999999999999" customHeight="1" x14ac:dyDescent="0.35">
      <c r="B50" s="228"/>
      <c r="C50" s="228"/>
      <c r="D50" s="228"/>
      <c r="E50" s="228"/>
      <c r="F50" s="228"/>
      <c r="G50" s="228"/>
      <c r="H50" s="228"/>
      <c r="I50" s="228"/>
    </row>
    <row r="51" spans="2:9" s="1" customFormat="1" ht="25" customHeight="1" x14ac:dyDescent="0.35">
      <c r="B51" s="4" t="s">
        <v>456</v>
      </c>
      <c r="C51" s="273"/>
      <c r="D51" s="226"/>
      <c r="E51" s="274"/>
      <c r="F51" s="203">
        <f>SUM(F52:F57)</f>
        <v>298478</v>
      </c>
      <c r="G51" s="203">
        <f>SUM(G52:G57)</f>
        <v>4770143</v>
      </c>
      <c r="H51" s="203">
        <f>SUM(H52:H57)</f>
        <v>5068621</v>
      </c>
      <c r="I51" s="203">
        <f>SUM(I52:I57)</f>
        <v>2989095</v>
      </c>
    </row>
    <row r="52" spans="2:9" s="1" customFormat="1" ht="20.149999999999999" customHeight="1" x14ac:dyDescent="0.35">
      <c r="B52" s="36" t="s">
        <v>497</v>
      </c>
      <c r="C52" s="273">
        <v>2027</v>
      </c>
      <c r="D52" s="226" t="s">
        <v>498</v>
      </c>
      <c r="E52" s="274" t="s">
        <v>464</v>
      </c>
      <c r="F52" s="208">
        <v>236320</v>
      </c>
      <c r="G52" s="208">
        <v>233333</v>
      </c>
      <c r="H52" s="208">
        <v>469653</v>
      </c>
      <c r="I52" s="208">
        <v>469775</v>
      </c>
    </row>
    <row r="53" spans="2:9" s="1" customFormat="1" ht="20.149999999999999" customHeight="1" x14ac:dyDescent="0.35">
      <c r="B53" s="36" t="s">
        <v>499</v>
      </c>
      <c r="C53" s="273">
        <v>2029</v>
      </c>
      <c r="D53" s="226" t="s">
        <v>500</v>
      </c>
      <c r="E53" s="274" t="s">
        <v>464</v>
      </c>
      <c r="F53" s="208">
        <v>1143</v>
      </c>
      <c r="G53" s="208">
        <v>355914</v>
      </c>
      <c r="H53" s="208">
        <v>357057</v>
      </c>
      <c r="I53" s="208">
        <v>346229</v>
      </c>
    </row>
    <row r="54" spans="2:9" s="1" customFormat="1" ht="20.149999999999999" customHeight="1" x14ac:dyDescent="0.35">
      <c r="B54" s="36" t="s">
        <v>501</v>
      </c>
      <c r="C54" s="273">
        <v>2030</v>
      </c>
      <c r="D54" s="226" t="s">
        <v>502</v>
      </c>
      <c r="E54" s="274" t="s">
        <v>464</v>
      </c>
      <c r="F54" s="208">
        <v>25822</v>
      </c>
      <c r="G54" s="208">
        <v>625000</v>
      </c>
      <c r="H54" s="208">
        <v>650822</v>
      </c>
      <c r="I54" s="208">
        <v>652615</v>
      </c>
    </row>
    <row r="55" spans="2:9" s="1" customFormat="1" ht="20.149999999999999" customHeight="1" x14ac:dyDescent="0.35">
      <c r="B55" s="36" t="s">
        <v>503</v>
      </c>
      <c r="C55" s="273">
        <v>2037</v>
      </c>
      <c r="D55" s="226" t="s">
        <v>488</v>
      </c>
      <c r="E55" s="274" t="s">
        <v>464</v>
      </c>
      <c r="F55" s="208">
        <v>13878</v>
      </c>
      <c r="G55" s="208">
        <v>1037265</v>
      </c>
      <c r="H55" s="208">
        <v>1051143</v>
      </c>
      <c r="I55" s="208">
        <v>1013701</v>
      </c>
    </row>
    <row r="56" spans="2:9" s="1" customFormat="1" ht="20.149999999999999" customHeight="1" x14ac:dyDescent="0.35">
      <c r="B56" s="36" t="s">
        <v>504</v>
      </c>
      <c r="C56" s="273">
        <v>2040</v>
      </c>
      <c r="D56" s="226" t="s">
        <v>490</v>
      </c>
      <c r="E56" s="274" t="s">
        <v>464</v>
      </c>
      <c r="F56" s="208">
        <v>6802</v>
      </c>
      <c r="G56" s="208">
        <v>518631</v>
      </c>
      <c r="H56" s="208">
        <v>525433</v>
      </c>
      <c r="I56" s="208">
        <v>506775</v>
      </c>
    </row>
    <row r="57" spans="2:9" s="1" customFormat="1" ht="20.149999999999999" customHeight="1" x14ac:dyDescent="0.35">
      <c r="B57" s="6" t="s">
        <v>817</v>
      </c>
      <c r="C57" s="273">
        <v>2031</v>
      </c>
      <c r="D57" s="226" t="s">
        <v>818</v>
      </c>
      <c r="E57" s="274" t="s">
        <v>464</v>
      </c>
      <c r="F57" s="208">
        <v>14513</v>
      </c>
      <c r="G57" s="208">
        <v>2000000</v>
      </c>
      <c r="H57" s="208">
        <v>2014513</v>
      </c>
      <c r="I57" s="208">
        <v>0</v>
      </c>
    </row>
    <row r="58" spans="2:9" s="1" customFormat="1" ht="20.149999999999999" customHeight="1" x14ac:dyDescent="0.35">
      <c r="B58" s="36"/>
      <c r="C58" s="273"/>
      <c r="D58" s="226"/>
      <c r="E58" s="274"/>
      <c r="F58" s="208"/>
      <c r="G58" s="208"/>
      <c r="H58" s="208"/>
      <c r="I58" s="208"/>
    </row>
    <row r="59" spans="2:9" s="1" customFormat="1" ht="20.149999999999999" customHeight="1" x14ac:dyDescent="0.35">
      <c r="B59" s="36" t="s">
        <v>505</v>
      </c>
      <c r="C59" s="226"/>
      <c r="D59" s="226"/>
      <c r="E59" s="227"/>
      <c r="F59" s="208">
        <v>0</v>
      </c>
      <c r="G59" s="208">
        <v>-17070</v>
      </c>
      <c r="H59" s="208">
        <v>-17070</v>
      </c>
      <c r="I59" s="208">
        <v>-12607</v>
      </c>
    </row>
    <row r="60" spans="2:9" s="1" customFormat="1" ht="20.149999999999999" customHeight="1" x14ac:dyDescent="0.35">
      <c r="B60" s="251" t="s">
        <v>506</v>
      </c>
      <c r="C60" s="275"/>
      <c r="D60" s="275"/>
      <c r="E60" s="276"/>
      <c r="F60" s="231">
        <v>-4148</v>
      </c>
      <c r="G60" s="231">
        <v>-313751</v>
      </c>
      <c r="H60" s="231">
        <v>-317899</v>
      </c>
      <c r="I60" s="231">
        <v>-307439</v>
      </c>
    </row>
    <row r="61" spans="2:9" s="1" customFormat="1" ht="30.65" customHeight="1" x14ac:dyDescent="0.35">
      <c r="B61" s="178" t="s">
        <v>507</v>
      </c>
      <c r="C61" s="58"/>
      <c r="D61" s="58"/>
      <c r="E61" s="156"/>
      <c r="F61" s="58">
        <f>SUM(F28,F23)</f>
        <v>1519180</v>
      </c>
      <c r="G61" s="58">
        <f>SUM(G28,G23)</f>
        <v>20833529</v>
      </c>
      <c r="H61" s="58">
        <f>SUM(H28,H23)</f>
        <v>22352709</v>
      </c>
      <c r="I61" s="58">
        <f>SUM(I28,I23)</f>
        <v>19465331</v>
      </c>
    </row>
    <row r="62" spans="2:9" s="1" customFormat="1" ht="19" customHeight="1" x14ac:dyDescent="0.35">
      <c r="B62" s="184" t="s">
        <v>508</v>
      </c>
      <c r="C62" s="107"/>
      <c r="D62" s="107"/>
    </row>
    <row r="256" spans="68:68" ht="19" customHeight="1" x14ac:dyDescent="0.35">
      <c r="BP256" s="126" t="s">
        <v>154</v>
      </c>
    </row>
    <row r="257" spans="68:68" ht="19" customHeight="1" x14ac:dyDescent="0.35">
      <c r="BP257" s="126" t="s">
        <v>154</v>
      </c>
    </row>
    <row r="258" spans="68:68" ht="19" customHeight="1" x14ac:dyDescent="0.35">
      <c r="BP258" s="126" t="s">
        <v>154</v>
      </c>
    </row>
    <row r="259" spans="68:68" ht="19" customHeight="1" x14ac:dyDescent="0.35">
      <c r="BP259" s="126" t="s">
        <v>154</v>
      </c>
    </row>
    <row r="260" spans="68:68" ht="19" customHeight="1" x14ac:dyDescent="0.35">
      <c r="BP260" s="126" t="s">
        <v>154</v>
      </c>
    </row>
    <row r="261" spans="68:68" ht="19" customHeight="1" x14ac:dyDescent="0.35">
      <c r="BP261" s="126" t="s">
        <v>154</v>
      </c>
    </row>
    <row r="262" spans="68:68" ht="19" customHeight="1" x14ac:dyDescent="0.35">
      <c r="BP262" s="126"/>
    </row>
    <row r="263" spans="68:68" ht="19" customHeight="1" x14ac:dyDescent="0.35">
      <c r="BP263" s="126"/>
    </row>
    <row r="264" spans="68:68" ht="19" customHeight="1" x14ac:dyDescent="0.35">
      <c r="BP264" s="126"/>
    </row>
    <row r="265" spans="68:68" ht="19" customHeight="1" x14ac:dyDescent="0.35">
      <c r="BP265" s="126"/>
    </row>
    <row r="266" spans="68:68" ht="19" customHeight="1" x14ac:dyDescent="0.35">
      <c r="BP266" s="126"/>
    </row>
    <row r="267" spans="68:68" ht="19" customHeight="1" x14ac:dyDescent="0.35">
      <c r="BP267" s="126"/>
    </row>
    <row r="268" spans="68:68" ht="19" customHeight="1" x14ac:dyDescent="0.35">
      <c r="BP268" s="126"/>
    </row>
    <row r="269" spans="68:68" ht="19" customHeight="1" x14ac:dyDescent="0.35">
      <c r="BP269" s="126"/>
    </row>
    <row r="270" spans="68:68" ht="19" customHeight="1" x14ac:dyDescent="0.35">
      <c r="BP270" s="126"/>
    </row>
    <row r="271" spans="68:68" ht="19" customHeight="1" x14ac:dyDescent="0.35">
      <c r="BP271" s="126"/>
    </row>
    <row r="272" spans="68:68" ht="19" customHeight="1" x14ac:dyDescent="0.35">
      <c r="BP272" s="126" t="s">
        <v>154</v>
      </c>
    </row>
    <row r="273" spans="68:68" ht="19" customHeight="1" x14ac:dyDescent="0.35">
      <c r="BP273" s="126" t="s">
        <v>154</v>
      </c>
    </row>
    <row r="274" spans="68:68" ht="19" customHeight="1" x14ac:dyDescent="0.35">
      <c r="BP274" s="126" t="s">
        <v>154</v>
      </c>
    </row>
    <row r="275" spans="68:68" ht="19" customHeight="1" x14ac:dyDescent="0.35">
      <c r="BP275" s="126" t="s">
        <v>154</v>
      </c>
    </row>
    <row r="276" spans="68:68" ht="19" customHeight="1" x14ac:dyDescent="0.35">
      <c r="BP276" s="126" t="s">
        <v>154</v>
      </c>
    </row>
    <row r="277" spans="68:68" ht="19" customHeight="1" x14ac:dyDescent="0.35">
      <c r="BP277" s="126" t="s">
        <v>154</v>
      </c>
    </row>
    <row r="278" spans="68:68" ht="19" customHeight="1" x14ac:dyDescent="0.35">
      <c r="BP278" s="126" t="s">
        <v>154</v>
      </c>
    </row>
    <row r="279" spans="68:68" ht="19" customHeight="1" x14ac:dyDescent="0.35">
      <c r="BP279" s="126" t="s">
        <v>154</v>
      </c>
    </row>
    <row r="280" spans="68:68" ht="19" customHeight="1" x14ac:dyDescent="0.35">
      <c r="BP280" s="126" t="s">
        <v>154</v>
      </c>
    </row>
    <row r="281" spans="68:68" ht="19" customHeight="1" x14ac:dyDescent="0.35">
      <c r="BP281" s="126" t="s">
        <v>154</v>
      </c>
    </row>
    <row r="300" spans="55:81" ht="40" customHeight="1" x14ac:dyDescent="0.35">
      <c r="BC300" s="481" t="s">
        <v>509</v>
      </c>
      <c r="BD300" s="481"/>
      <c r="BE300" s="481"/>
      <c r="BF300" s="481"/>
      <c r="BG300" s="481"/>
      <c r="BH300" s="481"/>
      <c r="BI300" s="481"/>
      <c r="BJ300" s="481"/>
      <c r="BK300" s="481"/>
      <c r="BL300" s="481"/>
      <c r="BM300" s="481"/>
      <c r="BN300" s="481"/>
      <c r="BO300" s="481"/>
      <c r="BP300" s="481"/>
      <c r="BQ300" s="481"/>
      <c r="BR300" s="481"/>
      <c r="BS300" s="481"/>
      <c r="BT300" s="481"/>
      <c r="BU300" s="481"/>
      <c r="BV300" s="481"/>
      <c r="BW300" s="481"/>
      <c r="BX300" s="481"/>
      <c r="BY300" s="481"/>
      <c r="BZ300" s="481"/>
      <c r="CA300" s="481"/>
      <c r="CB300" s="481"/>
      <c r="CC300" s="481"/>
    </row>
    <row r="301" spans="55:81" ht="10" customHeight="1" x14ac:dyDescent="0.35"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126"/>
    </row>
    <row r="302" spans="55:81" ht="40" customHeight="1" x14ac:dyDescent="0.35">
      <c r="BC302" s="479" t="s">
        <v>1</v>
      </c>
      <c r="BD302" s="479"/>
      <c r="BE302" s="479"/>
      <c r="BF302" s="479"/>
      <c r="BG302" s="479"/>
      <c r="BH302" s="479"/>
      <c r="BI302" s="479"/>
      <c r="BJ302" s="479"/>
      <c r="BK302" s="479"/>
      <c r="BL302" s="479"/>
      <c r="BM302" s="479"/>
      <c r="BN302" s="479"/>
      <c r="BO302" s="479"/>
      <c r="BP302" s="479"/>
      <c r="BQ302" s="479"/>
      <c r="BR302" s="479"/>
      <c r="BS302" s="479"/>
      <c r="BT302" s="479"/>
      <c r="BU302" s="479"/>
      <c r="BV302" s="479"/>
      <c r="BW302" s="479"/>
      <c r="BX302" s="479"/>
      <c r="BY302" s="479"/>
      <c r="BZ302" s="479"/>
      <c r="CA302" s="479"/>
      <c r="CB302" s="479"/>
      <c r="CC302" s="479"/>
    </row>
    <row r="303" spans="55:81" ht="15" customHeight="1" x14ac:dyDescent="0.35">
      <c r="BC303" s="427" t="s">
        <v>25</v>
      </c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126"/>
    </row>
    <row r="304" spans="55:81" ht="35.15" customHeight="1" x14ac:dyDescent="0.35">
      <c r="BC304" s="183" t="s">
        <v>437</v>
      </c>
      <c r="BD304" s="180" t="s">
        <v>246</v>
      </c>
      <c r="BE304" s="180" t="s">
        <v>247</v>
      </c>
      <c r="BF304" s="180" t="s">
        <v>234</v>
      </c>
      <c r="BG304" s="180" t="s">
        <v>248</v>
      </c>
      <c r="BH304" s="180" t="s">
        <v>249</v>
      </c>
      <c r="BI304" s="180" t="s">
        <v>250</v>
      </c>
      <c r="BJ304" s="180" t="s">
        <v>251</v>
      </c>
      <c r="BK304" s="180" t="s">
        <v>252</v>
      </c>
      <c r="BL304" s="180" t="s">
        <v>253</v>
      </c>
      <c r="BM304" s="180" t="s">
        <v>254</v>
      </c>
      <c r="BN304" s="180" t="s">
        <v>255</v>
      </c>
      <c r="BO304" s="180" t="s">
        <v>256</v>
      </c>
      <c r="BP304" s="180" t="s">
        <v>257</v>
      </c>
      <c r="BQ304" s="180" t="s">
        <v>258</v>
      </c>
      <c r="BR304" s="180" t="s">
        <v>259</v>
      </c>
      <c r="BS304" s="180" t="s">
        <v>260</v>
      </c>
      <c r="BT304" s="180" t="s">
        <v>261</v>
      </c>
      <c r="BU304" s="180" t="s">
        <v>262</v>
      </c>
      <c r="BV304" s="180" t="s">
        <v>263</v>
      </c>
      <c r="BW304" s="180" t="s">
        <v>264</v>
      </c>
      <c r="BX304" s="180" t="s">
        <v>265</v>
      </c>
      <c r="BY304" s="180" t="s">
        <v>266</v>
      </c>
      <c r="BZ304" s="180" t="s">
        <v>267</v>
      </c>
      <c r="CA304" s="180" t="s">
        <v>268</v>
      </c>
      <c r="CB304" s="180" t="s">
        <v>269</v>
      </c>
      <c r="CC304" s="180" t="s">
        <v>270</v>
      </c>
    </row>
    <row r="305" spans="55:81" ht="30" customHeight="1" x14ac:dyDescent="0.35">
      <c r="BC305" s="86" t="s">
        <v>510</v>
      </c>
      <c r="BD305" s="179">
        <f>SUM(BD306,BD309)</f>
        <v>22352709</v>
      </c>
      <c r="BE305" s="179">
        <f>SUM(BE306,BE309)</f>
        <v>19610517</v>
      </c>
      <c r="BF305" s="179">
        <f>SUM(BF306,BF309)</f>
        <v>19465331</v>
      </c>
      <c r="BG305" s="179">
        <f t="shared" ref="BG305:CC305" si="5">SUM(BG306,BG309)</f>
        <v>15411389</v>
      </c>
      <c r="BH305" s="179">
        <f t="shared" si="5"/>
        <v>15263937</v>
      </c>
      <c r="BI305" s="179">
        <f t="shared" si="5"/>
        <v>15242574</v>
      </c>
      <c r="BJ305" s="179">
        <f t="shared" si="5"/>
        <v>12279300</v>
      </c>
      <c r="BK305" s="179">
        <f t="shared" si="5"/>
        <v>14134273</v>
      </c>
      <c r="BL305" s="179">
        <f t="shared" si="5"/>
        <v>11643438</v>
      </c>
      <c r="BM305" s="179">
        <f t="shared" si="5"/>
        <v>11625874</v>
      </c>
      <c r="BN305" s="179">
        <f t="shared" si="5"/>
        <v>9831139</v>
      </c>
      <c r="BO305" s="179">
        <f t="shared" si="5"/>
        <v>12105914</v>
      </c>
      <c r="BP305" s="179">
        <f t="shared" si="5"/>
        <v>11831046</v>
      </c>
      <c r="BQ305" s="179">
        <f t="shared" si="5"/>
        <v>10279317</v>
      </c>
      <c r="BR305" s="179">
        <f t="shared" si="5"/>
        <v>10579498</v>
      </c>
      <c r="BS305" s="179">
        <f t="shared" si="5"/>
        <v>11368952</v>
      </c>
      <c r="BT305" s="179">
        <f t="shared" si="5"/>
        <v>11184845</v>
      </c>
      <c r="BU305" s="179">
        <f t="shared" si="5"/>
        <v>9849696</v>
      </c>
      <c r="BV305" s="179">
        <f t="shared" si="5"/>
        <v>11363963</v>
      </c>
      <c r="BW305" s="179">
        <f t="shared" si="5"/>
        <v>11351253</v>
      </c>
      <c r="BX305" s="179">
        <f t="shared" si="5"/>
        <v>13318988</v>
      </c>
      <c r="BY305" s="179">
        <f t="shared" si="5"/>
        <v>14665503</v>
      </c>
      <c r="BZ305" s="179">
        <f t="shared" si="5"/>
        <v>15020558</v>
      </c>
      <c r="CA305" s="179">
        <f t="shared" si="5"/>
        <v>16106741</v>
      </c>
      <c r="CB305" s="179">
        <f t="shared" si="5"/>
        <v>15862429</v>
      </c>
      <c r="CC305" s="179">
        <f t="shared" si="5"/>
        <v>15762574</v>
      </c>
    </row>
    <row r="306" spans="55:81" ht="25" customHeight="1" x14ac:dyDescent="0.35">
      <c r="BC306" s="158" t="s">
        <v>511</v>
      </c>
      <c r="BD306" s="161">
        <f>SUM(BD307:BD308)</f>
        <v>1678834</v>
      </c>
      <c r="BE306" s="161">
        <f t="shared" ref="BE306" si="6">SUM(BE307:BE308)</f>
        <v>215539</v>
      </c>
      <c r="BF306" s="161">
        <f>SUM(BF307:BF308)</f>
        <v>224181</v>
      </c>
      <c r="BG306" s="161">
        <f>SUM(BG307:BG308)</f>
        <v>214186</v>
      </c>
      <c r="BH306" s="161">
        <f t="shared" ref="BH306:CC306" si="7">SUM(BH307:BH308)</f>
        <v>0</v>
      </c>
      <c r="BI306" s="161">
        <f t="shared" si="7"/>
        <v>0</v>
      </c>
      <c r="BJ306" s="161">
        <f t="shared" si="7"/>
        <v>0</v>
      </c>
      <c r="BK306" s="161">
        <f t="shared" si="7"/>
        <v>2147796</v>
      </c>
      <c r="BL306" s="161">
        <f t="shared" si="7"/>
        <v>2133148</v>
      </c>
      <c r="BM306" s="161">
        <f t="shared" si="7"/>
        <v>1968173</v>
      </c>
      <c r="BN306" s="161">
        <f t="shared" si="7"/>
        <v>1854093</v>
      </c>
      <c r="BO306" s="161">
        <f t="shared" si="7"/>
        <v>3911395</v>
      </c>
      <c r="BP306" s="161">
        <f t="shared" si="7"/>
        <v>3663528</v>
      </c>
      <c r="BQ306" s="161">
        <f t="shared" si="7"/>
        <v>3966092</v>
      </c>
      <c r="BR306" s="161">
        <f t="shared" si="7"/>
        <v>3962185</v>
      </c>
      <c r="BS306" s="161">
        <f t="shared" si="7"/>
        <v>5638506</v>
      </c>
      <c r="BT306" s="161">
        <f t="shared" si="7"/>
        <v>5318676</v>
      </c>
      <c r="BU306" s="161">
        <f t="shared" si="7"/>
        <v>4941133</v>
      </c>
      <c r="BV306" s="161">
        <f t="shared" si="7"/>
        <v>5659174</v>
      </c>
      <c r="BW306" s="161">
        <f t="shared" si="7"/>
        <v>5663315</v>
      </c>
      <c r="BX306" s="161">
        <f t="shared" si="7"/>
        <v>7597898</v>
      </c>
      <c r="BY306" s="161">
        <f t="shared" si="7"/>
        <v>8903503</v>
      </c>
      <c r="BZ306" s="161">
        <f t="shared" si="7"/>
        <v>7915007</v>
      </c>
      <c r="CA306" s="161">
        <f t="shared" si="7"/>
        <v>8945446</v>
      </c>
      <c r="CB306" s="161">
        <f t="shared" si="7"/>
        <v>9372155</v>
      </c>
      <c r="CC306" s="161">
        <f t="shared" si="7"/>
        <v>9171742</v>
      </c>
    </row>
    <row r="307" spans="55:81" ht="20.149999999999999" customHeight="1" x14ac:dyDescent="0.35">
      <c r="BC307" s="49" t="s">
        <v>512</v>
      </c>
      <c r="BD307" s="160">
        <f>I8</f>
        <v>1678834</v>
      </c>
      <c r="BE307" s="160">
        <v>215539</v>
      </c>
      <c r="BF307" s="160">
        <v>224181</v>
      </c>
      <c r="BG307" s="160">
        <v>214186</v>
      </c>
      <c r="BH307" s="160">
        <v>0</v>
      </c>
      <c r="BI307" s="160">
        <v>0</v>
      </c>
      <c r="BJ307" s="160">
        <v>0</v>
      </c>
      <c r="BK307" s="160">
        <v>2147796</v>
      </c>
      <c r="BL307" s="160">
        <v>2133148</v>
      </c>
      <c r="BM307" s="160">
        <v>1968173</v>
      </c>
      <c r="BN307" s="160">
        <v>1854093</v>
      </c>
      <c r="BO307" s="160">
        <v>3911139</v>
      </c>
      <c r="BP307" s="160">
        <v>3662763</v>
      </c>
      <c r="BQ307" s="160">
        <v>3964520</v>
      </c>
      <c r="BR307" s="160">
        <v>3959805</v>
      </c>
      <c r="BS307" s="160">
        <v>5577738</v>
      </c>
      <c r="BT307" s="160">
        <v>5259126</v>
      </c>
      <c r="BU307" s="160">
        <v>4882483</v>
      </c>
      <c r="BV307" s="160">
        <v>5601097</v>
      </c>
      <c r="BW307" s="160">
        <v>5605439</v>
      </c>
      <c r="BX307" s="160">
        <v>7523214</v>
      </c>
      <c r="BY307" s="160">
        <v>8819606</v>
      </c>
      <c r="BZ307" s="160">
        <v>7824706</v>
      </c>
      <c r="CA307" s="160">
        <v>8728334</v>
      </c>
      <c r="CB307" s="160">
        <v>8244066</v>
      </c>
      <c r="CC307" s="160">
        <v>8048277</v>
      </c>
    </row>
    <row r="308" spans="55:81" ht="20.149999999999999" customHeight="1" x14ac:dyDescent="0.35">
      <c r="BC308" s="49" t="s">
        <v>513</v>
      </c>
      <c r="BD308" s="220">
        <v>0</v>
      </c>
      <c r="BE308" s="160">
        <v>0</v>
      </c>
      <c r="BF308" s="160">
        <v>0</v>
      </c>
      <c r="BG308" s="160">
        <v>0</v>
      </c>
      <c r="BH308" s="160">
        <v>0</v>
      </c>
      <c r="BI308" s="160">
        <v>0</v>
      </c>
      <c r="BJ308" s="160">
        <v>0</v>
      </c>
      <c r="BK308" s="160">
        <v>0</v>
      </c>
      <c r="BL308" s="160">
        <v>0</v>
      </c>
      <c r="BM308" s="160">
        <v>0</v>
      </c>
      <c r="BN308" s="160">
        <v>0</v>
      </c>
      <c r="BO308" s="160">
        <v>256</v>
      </c>
      <c r="BP308" s="160">
        <v>765</v>
      </c>
      <c r="BQ308" s="160">
        <v>1572</v>
      </c>
      <c r="BR308" s="160">
        <v>2380</v>
      </c>
      <c r="BS308" s="160">
        <v>60768</v>
      </c>
      <c r="BT308" s="160">
        <v>59550</v>
      </c>
      <c r="BU308" s="160">
        <v>58650</v>
      </c>
      <c r="BV308" s="160">
        <v>58077</v>
      </c>
      <c r="BW308" s="160">
        <v>57876</v>
      </c>
      <c r="BX308" s="160">
        <v>74684</v>
      </c>
      <c r="BY308" s="160">
        <v>83897</v>
      </c>
      <c r="BZ308" s="160">
        <v>90301</v>
      </c>
      <c r="CA308" s="160">
        <v>217112</v>
      </c>
      <c r="CB308" s="160">
        <v>1128089</v>
      </c>
      <c r="CC308" s="160">
        <v>1123465</v>
      </c>
    </row>
    <row r="309" spans="55:81" ht="25" customHeight="1" x14ac:dyDescent="0.35">
      <c r="BC309" s="158" t="s">
        <v>514</v>
      </c>
      <c r="BD309" s="161">
        <f>H28</f>
        <v>20673875</v>
      </c>
      <c r="BE309" s="161">
        <v>19394978</v>
      </c>
      <c r="BF309" s="161">
        <v>19241150</v>
      </c>
      <c r="BG309" s="161">
        <v>15197203</v>
      </c>
      <c r="BH309" s="161">
        <v>15263937</v>
      </c>
      <c r="BI309" s="161">
        <v>15242574</v>
      </c>
      <c r="BJ309" s="161">
        <v>12279300</v>
      </c>
      <c r="BK309" s="161">
        <v>11986477</v>
      </c>
      <c r="BL309" s="161">
        <v>9510290</v>
      </c>
      <c r="BM309" s="161">
        <v>9657701</v>
      </c>
      <c r="BN309" s="161">
        <v>7977046</v>
      </c>
      <c r="BO309" s="161">
        <v>8194519</v>
      </c>
      <c r="BP309" s="161">
        <v>8167518</v>
      </c>
      <c r="BQ309" s="161">
        <v>6313225</v>
      </c>
      <c r="BR309" s="161">
        <v>6617313</v>
      </c>
      <c r="BS309" s="161">
        <v>5730446</v>
      </c>
      <c r="BT309" s="161">
        <v>5866169</v>
      </c>
      <c r="BU309" s="161">
        <v>4908563</v>
      </c>
      <c r="BV309" s="161">
        <v>5704789</v>
      </c>
      <c r="BW309" s="161">
        <v>5687938</v>
      </c>
      <c r="BX309" s="161">
        <v>5721090</v>
      </c>
      <c r="BY309" s="161">
        <v>5762000</v>
      </c>
      <c r="BZ309" s="161">
        <v>7105551</v>
      </c>
      <c r="CA309" s="161">
        <v>7161295</v>
      </c>
      <c r="CB309" s="161">
        <v>6490274</v>
      </c>
      <c r="CC309" s="161">
        <v>6590832</v>
      </c>
    </row>
    <row r="310" spans="55:81" ht="30" customHeight="1" x14ac:dyDescent="0.35">
      <c r="BC310" s="86" t="s">
        <v>515</v>
      </c>
      <c r="BD310" s="179">
        <f t="shared" ref="BD310" si="8">SUM(BD305,BD311:BD313)</f>
        <v>19358126</v>
      </c>
      <c r="BE310" s="179">
        <f>SUM(BE305,BE311:BE313)</f>
        <v>17844022</v>
      </c>
      <c r="BF310" s="179">
        <f>SUM(BF305,BF311:BF313)</f>
        <v>16795486</v>
      </c>
      <c r="BG310" s="179">
        <f t="shared" ref="BG310:CC310" si="9">SUM(BG305,BG311:BG313)</f>
        <v>13084174</v>
      </c>
      <c r="BH310" s="179">
        <f t="shared" si="9"/>
        <v>12228641</v>
      </c>
      <c r="BI310" s="179">
        <f t="shared" si="9"/>
        <v>10487487</v>
      </c>
      <c r="BJ310" s="179">
        <f t="shared" si="9"/>
        <v>9888557</v>
      </c>
      <c r="BK310" s="179">
        <f t="shared" si="9"/>
        <v>6882273</v>
      </c>
      <c r="BL310" s="179">
        <f t="shared" si="9"/>
        <v>8161556</v>
      </c>
      <c r="BM310" s="179">
        <f t="shared" si="9"/>
        <v>6662303</v>
      </c>
      <c r="BN310" s="179">
        <f t="shared" si="9"/>
        <v>7151624</v>
      </c>
      <c r="BO310" s="179">
        <f t="shared" si="9"/>
        <v>7601053</v>
      </c>
      <c r="BP310" s="179">
        <f t="shared" si="9"/>
        <v>7732080</v>
      </c>
      <c r="BQ310" s="179">
        <f t="shared" si="9"/>
        <v>6585650</v>
      </c>
      <c r="BR310" s="179">
        <f t="shared" si="9"/>
        <v>6648452</v>
      </c>
      <c r="BS310" s="179">
        <f t="shared" si="9"/>
        <v>5743437</v>
      </c>
      <c r="BT310" s="179">
        <f t="shared" si="9"/>
        <v>6545928</v>
      </c>
      <c r="BU310" s="179">
        <f t="shared" si="9"/>
        <v>6518064</v>
      </c>
      <c r="BV310" s="179">
        <f t="shared" si="9"/>
        <v>7247891</v>
      </c>
      <c r="BW310" s="179">
        <f t="shared" si="9"/>
        <v>6193351</v>
      </c>
      <c r="BX310" s="179">
        <f t="shared" si="9"/>
        <v>5030209</v>
      </c>
      <c r="BY310" s="179">
        <f t="shared" si="9"/>
        <v>5722818</v>
      </c>
      <c r="BZ310" s="179">
        <f t="shared" si="9"/>
        <v>6266168</v>
      </c>
      <c r="CA310" s="179">
        <f t="shared" si="9"/>
        <v>7303211</v>
      </c>
      <c r="CB310" s="179">
        <f t="shared" si="9"/>
        <v>8875704</v>
      </c>
      <c r="CC310" s="179">
        <f t="shared" si="9"/>
        <v>10316764</v>
      </c>
    </row>
    <row r="311" spans="55:81" ht="20.149999999999999" customHeight="1" x14ac:dyDescent="0.35">
      <c r="BC311" s="157" t="s">
        <v>516</v>
      </c>
      <c r="BD311" s="160">
        <v>-2162396</v>
      </c>
      <c r="BE311" s="160">
        <v>-1377560</v>
      </c>
      <c r="BF311" s="160">
        <v>-1901636</v>
      </c>
      <c r="BG311" s="160">
        <v>-1451684</v>
      </c>
      <c r="BH311" s="160">
        <v>-1757787</v>
      </c>
      <c r="BI311" s="160">
        <v>-3244030</v>
      </c>
      <c r="BJ311" s="160">
        <v>-1898224</v>
      </c>
      <c r="BK311" s="160">
        <v>-3660787</v>
      </c>
      <c r="BL311" s="160">
        <v>-1564249</v>
      </c>
      <c r="BM311" s="160">
        <v>-2177401</v>
      </c>
      <c r="BN311" s="160">
        <v>-1537482</v>
      </c>
      <c r="BO311" s="160">
        <v>-2355680</v>
      </c>
      <c r="BP311" s="160">
        <v>-2182819</v>
      </c>
      <c r="BQ311" s="160">
        <v>-1600178</v>
      </c>
      <c r="BR311" s="160">
        <v>-1440661</v>
      </c>
      <c r="BS311" s="160">
        <v>-1990712</v>
      </c>
      <c r="BT311" s="160">
        <v>-1867781</v>
      </c>
      <c r="BU311" s="160">
        <v>-1409372</v>
      </c>
      <c r="BV311" s="160">
        <v>-825208</v>
      </c>
      <c r="BW311" s="160">
        <v>-827784</v>
      </c>
      <c r="BX311" s="160">
        <v>-2661596</v>
      </c>
      <c r="BY311" s="160">
        <v>-3332411</v>
      </c>
      <c r="BZ311" s="160">
        <v>-1680397</v>
      </c>
      <c r="CA311" s="160">
        <v>-1420751</v>
      </c>
      <c r="CB311" s="160">
        <v>-971314</v>
      </c>
      <c r="CC311" s="160">
        <v>-795731</v>
      </c>
    </row>
    <row r="312" spans="55:81" ht="20.149999999999999" customHeight="1" x14ac:dyDescent="0.35">
      <c r="BC312" s="157" t="s">
        <v>517</v>
      </c>
      <c r="BD312" s="160">
        <v>-919713</v>
      </c>
      <c r="BE312" s="160">
        <v>-414962</v>
      </c>
      <c r="BF312" s="160">
        <v>-759702</v>
      </c>
      <c r="BG312" s="160">
        <v>-865359</v>
      </c>
      <c r="BH312" s="160">
        <v>-1277509</v>
      </c>
      <c r="BI312" s="160">
        <v>-1511057</v>
      </c>
      <c r="BJ312" s="160">
        <v>-492519</v>
      </c>
      <c r="BK312" s="160">
        <v>-3091303</v>
      </c>
      <c r="BL312" s="160">
        <v>-1431008</v>
      </c>
      <c r="BM312" s="160">
        <v>-2376087</v>
      </c>
      <c r="BN312" s="160">
        <v>-773982</v>
      </c>
      <c r="BO312" s="160">
        <v>-1812392</v>
      </c>
      <c r="BP312" s="160">
        <v>-1681785</v>
      </c>
      <c r="BQ312" s="160">
        <v>-1494006</v>
      </c>
      <c r="BR312" s="160">
        <v>-1878177</v>
      </c>
      <c r="BS312" s="160">
        <v>-2913708</v>
      </c>
      <c r="BT312" s="160">
        <v>-1924612</v>
      </c>
      <c r="BU312" s="160">
        <v>-1165861</v>
      </c>
      <c r="BV312" s="160">
        <v>-2077818</v>
      </c>
      <c r="BW312" s="160">
        <v>-3027479</v>
      </c>
      <c r="BX312" s="160">
        <v>-4336479</v>
      </c>
      <c r="BY312" s="160">
        <v>-2848692</v>
      </c>
      <c r="BZ312" s="160">
        <v>-4125063</v>
      </c>
      <c r="CA312" s="160">
        <v>-4098637</v>
      </c>
      <c r="CB312" s="160">
        <v>-2733920</v>
      </c>
      <c r="CC312" s="160">
        <v>-1644895</v>
      </c>
    </row>
    <row r="313" spans="55:81" ht="20.149999999999999" customHeight="1" thickBot="1" x14ac:dyDescent="0.4">
      <c r="BC313" s="181" t="s">
        <v>518</v>
      </c>
      <c r="BD313" s="182">
        <v>87526</v>
      </c>
      <c r="BE313" s="182">
        <v>26027</v>
      </c>
      <c r="BF313" s="182">
        <v>-8507</v>
      </c>
      <c r="BG313" s="182">
        <v>-10172</v>
      </c>
      <c r="BH313" s="182">
        <v>0</v>
      </c>
      <c r="BI313" s="182">
        <v>0</v>
      </c>
      <c r="BJ313" s="182">
        <v>0</v>
      </c>
      <c r="BK313" s="182">
        <v>-499910</v>
      </c>
      <c r="BL313" s="182">
        <v>-486625</v>
      </c>
      <c r="BM313" s="182">
        <v>-410083</v>
      </c>
      <c r="BN313" s="182">
        <v>-368051</v>
      </c>
      <c r="BO313" s="182">
        <v>-336789</v>
      </c>
      <c r="BP313" s="182">
        <v>-234362</v>
      </c>
      <c r="BQ313" s="182">
        <v>-599483</v>
      </c>
      <c r="BR313" s="182">
        <v>-612208</v>
      </c>
      <c r="BS313" s="182">
        <v>-721095</v>
      </c>
      <c r="BT313" s="182">
        <v>-846524</v>
      </c>
      <c r="BU313" s="182">
        <v>-756399</v>
      </c>
      <c r="BV313" s="182">
        <v>-1213046</v>
      </c>
      <c r="BW313" s="182">
        <v>-1302639</v>
      </c>
      <c r="BX313" s="182">
        <v>-1290704</v>
      </c>
      <c r="BY313" s="182">
        <v>-2761582</v>
      </c>
      <c r="BZ313" s="182">
        <v>-2948930</v>
      </c>
      <c r="CA313" s="182">
        <v>-3284142</v>
      </c>
      <c r="CB313" s="182">
        <v>-3281491</v>
      </c>
      <c r="CC313" s="182">
        <v>-3005184</v>
      </c>
    </row>
    <row r="314" spans="55:81" ht="19" customHeight="1" x14ac:dyDescent="0.35">
      <c r="BC314" s="2" t="s">
        <v>519</v>
      </c>
      <c r="BD314" s="2"/>
      <c r="BE314" s="2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126"/>
    </row>
    <row r="315" spans="55:81" ht="19" customHeight="1" x14ac:dyDescent="0.35">
      <c r="BC315" s="27"/>
      <c r="BD315" s="27"/>
    </row>
    <row r="316" spans="55:81" ht="40" customHeight="1" x14ac:dyDescent="0.35">
      <c r="BC316" s="479" t="s">
        <v>98</v>
      </c>
      <c r="BD316" s="479"/>
      <c r="BE316" s="479"/>
      <c r="BF316" s="479"/>
      <c r="BG316" s="479"/>
      <c r="BH316" s="479"/>
      <c r="BI316" s="479"/>
      <c r="BJ316" s="479"/>
      <c r="BK316" s="479"/>
      <c r="BL316" s="479"/>
      <c r="BM316" s="479"/>
      <c r="BN316" s="479"/>
      <c r="BO316" s="479"/>
      <c r="BP316" s="479"/>
      <c r="BQ316" s="479"/>
      <c r="BR316" s="479"/>
      <c r="BS316" s="479"/>
      <c r="BT316" s="479"/>
      <c r="BU316" s="479"/>
      <c r="BV316" s="479"/>
      <c r="BW316" s="479"/>
      <c r="BX316" s="479"/>
      <c r="BY316" s="479"/>
      <c r="BZ316" s="479"/>
      <c r="CA316" s="479"/>
      <c r="CB316" s="479"/>
      <c r="CC316" s="479"/>
    </row>
    <row r="317" spans="55:81" ht="15" customHeight="1" x14ac:dyDescent="0.35">
      <c r="BC317" s="427" t="s">
        <v>25</v>
      </c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126"/>
    </row>
    <row r="318" spans="55:81" ht="35.15" customHeight="1" x14ac:dyDescent="0.35">
      <c r="BC318" s="183" t="s">
        <v>437</v>
      </c>
      <c r="BD318" s="180" t="s">
        <v>246</v>
      </c>
      <c r="BE318" s="180" t="s">
        <v>247</v>
      </c>
      <c r="BF318" s="180" t="s">
        <v>234</v>
      </c>
      <c r="BG318" s="180" t="s">
        <v>248</v>
      </c>
      <c r="BH318" s="180" t="s">
        <v>249</v>
      </c>
      <c r="BI318" s="180" t="s">
        <v>250</v>
      </c>
      <c r="BJ318" s="180" t="s">
        <v>251</v>
      </c>
      <c r="BK318" s="180" t="s">
        <v>252</v>
      </c>
      <c r="BL318" s="180" t="s">
        <v>253</v>
      </c>
      <c r="BM318" s="180" t="s">
        <v>254</v>
      </c>
      <c r="BN318" s="180" t="s">
        <v>255</v>
      </c>
      <c r="BO318" s="180" t="s">
        <v>256</v>
      </c>
      <c r="BP318" s="180" t="s">
        <v>257</v>
      </c>
      <c r="BQ318" s="180" t="s">
        <v>258</v>
      </c>
      <c r="BR318" s="180" t="s">
        <v>259</v>
      </c>
      <c r="BS318" s="180" t="s">
        <v>260</v>
      </c>
      <c r="BT318" s="180" t="s">
        <v>261</v>
      </c>
      <c r="BU318" s="180" t="s">
        <v>262</v>
      </c>
      <c r="BV318" s="180" t="s">
        <v>263</v>
      </c>
      <c r="BW318" s="180" t="s">
        <v>264</v>
      </c>
      <c r="BX318" s="180" t="s">
        <v>265</v>
      </c>
      <c r="BY318" s="180" t="s">
        <v>266</v>
      </c>
      <c r="BZ318" s="180" t="s">
        <v>267</v>
      </c>
      <c r="CA318" s="180" t="s">
        <v>268</v>
      </c>
      <c r="CB318" s="180" t="s">
        <v>269</v>
      </c>
      <c r="CC318" s="180" t="s">
        <v>270</v>
      </c>
    </row>
    <row r="319" spans="55:81" ht="30" customHeight="1" x14ac:dyDescent="0.35">
      <c r="BC319" s="86" t="s">
        <v>510</v>
      </c>
      <c r="BD319" s="179">
        <f>SUM(BD320,BD323)</f>
        <v>15665471</v>
      </c>
      <c r="BE319" s="179">
        <f>SUM(BE320,BE323)</f>
        <v>14982925</v>
      </c>
      <c r="BF319" s="179">
        <f>SUM(BF320,BF323)</f>
        <v>14892088</v>
      </c>
      <c r="BG319" s="179">
        <f t="shared" ref="BG319:CC319" si="10">SUM(BG320,BG323)</f>
        <v>12378020</v>
      </c>
      <c r="BH319" s="179">
        <f t="shared" si="10"/>
        <v>12333041</v>
      </c>
      <c r="BI319" s="179">
        <f t="shared" si="10"/>
        <v>12327207</v>
      </c>
      <c r="BJ319" s="179">
        <f t="shared" si="10"/>
        <v>10037621</v>
      </c>
      <c r="BK319" s="179">
        <f t="shared" si="10"/>
        <v>9951674</v>
      </c>
      <c r="BL319" s="179">
        <f t="shared" si="10"/>
        <v>7381071</v>
      </c>
      <c r="BM319" s="179">
        <f t="shared" si="10"/>
        <v>7531748</v>
      </c>
      <c r="BN319" s="179">
        <f t="shared" si="10"/>
        <v>5887622</v>
      </c>
      <c r="BO319" s="179">
        <f t="shared" si="10"/>
        <v>6099168</v>
      </c>
      <c r="BP319" s="179">
        <f t="shared" si="10"/>
        <v>6079600</v>
      </c>
      <c r="BQ319" s="179">
        <f t="shared" si="10"/>
        <v>4224247</v>
      </c>
      <c r="BR319" s="179">
        <f t="shared" si="10"/>
        <v>4575998</v>
      </c>
      <c r="BS319" s="179">
        <f t="shared" si="10"/>
        <v>4707524</v>
      </c>
      <c r="BT319" s="179">
        <f t="shared" si="10"/>
        <v>4795287</v>
      </c>
      <c r="BU319" s="179">
        <f t="shared" si="10"/>
        <v>3872875</v>
      </c>
      <c r="BV319" s="179">
        <f t="shared" si="10"/>
        <v>4247161</v>
      </c>
      <c r="BW319" s="179">
        <f t="shared" si="10"/>
        <v>4286100</v>
      </c>
      <c r="BX319" s="179">
        <f t="shared" si="10"/>
        <v>4322546</v>
      </c>
      <c r="BY319" s="179">
        <f t="shared" si="10"/>
        <v>4421160</v>
      </c>
      <c r="BZ319" s="179">
        <f t="shared" si="10"/>
        <v>5097240</v>
      </c>
      <c r="CA319" s="179">
        <f t="shared" si="10"/>
        <v>5148058</v>
      </c>
      <c r="CB319" s="179">
        <f t="shared" si="10"/>
        <v>5210787</v>
      </c>
      <c r="CC319" s="179">
        <f t="shared" si="10"/>
        <v>5253208</v>
      </c>
    </row>
    <row r="320" spans="55:81" ht="25" customHeight="1" x14ac:dyDescent="0.35">
      <c r="BC320" s="158" t="s">
        <v>511</v>
      </c>
      <c r="BD320" s="161">
        <f>SUM(BD321:BD322)</f>
        <v>1463686</v>
      </c>
      <c r="BE320" s="161">
        <f t="shared" ref="BE320" si="11">SUM(BE321:BE322)</f>
        <v>0</v>
      </c>
      <c r="BF320" s="161">
        <f>SUM(BF321:BF322)</f>
        <v>0</v>
      </c>
      <c r="BG320" s="161">
        <f>SUM(BG321:BG322)</f>
        <v>0</v>
      </c>
      <c r="BH320" s="161">
        <f t="shared" ref="BH320:CC320" si="12">SUM(BH321:BH322)</f>
        <v>0</v>
      </c>
      <c r="BI320" s="161">
        <f t="shared" si="12"/>
        <v>0</v>
      </c>
      <c r="BJ320" s="161">
        <f t="shared" si="12"/>
        <v>0</v>
      </c>
      <c r="BK320" s="161">
        <f t="shared" si="12"/>
        <v>0</v>
      </c>
      <c r="BL320" s="161">
        <f t="shared" si="12"/>
        <v>0</v>
      </c>
      <c r="BM320" s="161">
        <f t="shared" si="12"/>
        <v>0</v>
      </c>
      <c r="BN320" s="161">
        <f t="shared" si="12"/>
        <v>0</v>
      </c>
      <c r="BO320" s="161">
        <f t="shared" si="12"/>
        <v>256</v>
      </c>
      <c r="BP320" s="161">
        <f t="shared" si="12"/>
        <v>765</v>
      </c>
      <c r="BQ320" s="161">
        <f t="shared" si="12"/>
        <v>1573</v>
      </c>
      <c r="BR320" s="161">
        <f t="shared" si="12"/>
        <v>2380</v>
      </c>
      <c r="BS320" s="161">
        <f t="shared" si="12"/>
        <v>3188</v>
      </c>
      <c r="BT320" s="161">
        <f t="shared" si="12"/>
        <v>3996</v>
      </c>
      <c r="BU320" s="161">
        <f t="shared" si="12"/>
        <v>4819</v>
      </c>
      <c r="BV320" s="161">
        <f t="shared" si="12"/>
        <v>5647</v>
      </c>
      <c r="BW320" s="161">
        <f t="shared" si="12"/>
        <v>6488</v>
      </c>
      <c r="BX320" s="161">
        <f t="shared" si="12"/>
        <v>7330</v>
      </c>
      <c r="BY320" s="161">
        <f t="shared" si="12"/>
        <v>23629</v>
      </c>
      <c r="BZ320" s="161">
        <f t="shared" si="12"/>
        <v>20783</v>
      </c>
      <c r="CA320" s="161">
        <f t="shared" si="12"/>
        <v>26824</v>
      </c>
      <c r="CB320" s="161">
        <f t="shared" si="12"/>
        <v>26833</v>
      </c>
      <c r="CC320" s="161">
        <f t="shared" si="12"/>
        <v>43047</v>
      </c>
    </row>
    <row r="321" spans="55:82" ht="20.149999999999999" customHeight="1" x14ac:dyDescent="0.35">
      <c r="BC321" s="49" t="s">
        <v>512</v>
      </c>
      <c r="BD321" s="160">
        <v>1463686</v>
      </c>
      <c r="BE321" s="160">
        <v>0</v>
      </c>
      <c r="BF321" s="160">
        <v>0</v>
      </c>
      <c r="BG321" s="160">
        <v>0</v>
      </c>
      <c r="BH321" s="160">
        <v>0</v>
      </c>
      <c r="BI321" s="160">
        <v>0</v>
      </c>
      <c r="BJ321" s="160">
        <v>0</v>
      </c>
      <c r="BK321" s="160">
        <v>0</v>
      </c>
      <c r="BL321" s="160">
        <v>0</v>
      </c>
      <c r="BM321" s="160">
        <v>0</v>
      </c>
      <c r="BN321" s="160">
        <v>0</v>
      </c>
      <c r="BO321" s="160">
        <v>0</v>
      </c>
      <c r="BP321" s="160">
        <v>0</v>
      </c>
      <c r="BQ321" s="160">
        <v>0</v>
      </c>
      <c r="BR321" s="160">
        <v>0</v>
      </c>
      <c r="BS321" s="160">
        <v>0</v>
      </c>
      <c r="BT321" s="160">
        <v>0</v>
      </c>
      <c r="BU321" s="160">
        <v>0</v>
      </c>
      <c r="BV321" s="160">
        <v>0</v>
      </c>
      <c r="BW321" s="160">
        <v>0</v>
      </c>
      <c r="BX321" s="160">
        <v>0</v>
      </c>
      <c r="BY321" s="160">
        <v>15454</v>
      </c>
      <c r="BZ321" s="160">
        <v>11725</v>
      </c>
      <c r="CA321" s="160">
        <v>16112</v>
      </c>
      <c r="CB321" s="160">
        <v>12934</v>
      </c>
      <c r="CC321" s="160">
        <v>25961</v>
      </c>
    </row>
    <row r="322" spans="55:82" ht="20.149999999999999" customHeight="1" x14ac:dyDescent="0.35">
      <c r="BC322" s="49" t="s">
        <v>513</v>
      </c>
      <c r="BD322" s="220">
        <v>0</v>
      </c>
      <c r="BE322" s="160">
        <v>0</v>
      </c>
      <c r="BF322" s="160">
        <v>0</v>
      </c>
      <c r="BG322" s="160">
        <v>0</v>
      </c>
      <c r="BH322" s="160">
        <v>0</v>
      </c>
      <c r="BI322" s="160">
        <v>0</v>
      </c>
      <c r="BJ322" s="160">
        <v>0</v>
      </c>
      <c r="BK322" s="160">
        <v>0</v>
      </c>
      <c r="BL322" s="160">
        <v>0</v>
      </c>
      <c r="BM322" s="160">
        <v>0</v>
      </c>
      <c r="BN322" s="160">
        <v>0</v>
      </c>
      <c r="BO322" s="160">
        <v>256</v>
      </c>
      <c r="BP322" s="160">
        <v>765</v>
      </c>
      <c r="BQ322" s="160">
        <v>1573</v>
      </c>
      <c r="BR322" s="160">
        <v>2380</v>
      </c>
      <c r="BS322" s="160">
        <v>3188</v>
      </c>
      <c r="BT322" s="160">
        <v>3996</v>
      </c>
      <c r="BU322" s="160">
        <v>4819</v>
      </c>
      <c r="BV322" s="160">
        <v>5647</v>
      </c>
      <c r="BW322" s="160">
        <v>6488</v>
      </c>
      <c r="BX322" s="160">
        <v>7330</v>
      </c>
      <c r="BY322" s="160">
        <v>8175</v>
      </c>
      <c r="BZ322" s="160">
        <v>9058</v>
      </c>
      <c r="CA322" s="160">
        <v>10712</v>
      </c>
      <c r="CB322" s="160">
        <v>13899</v>
      </c>
      <c r="CC322" s="160">
        <v>17086</v>
      </c>
    </row>
    <row r="323" spans="55:82" ht="25" customHeight="1" x14ac:dyDescent="0.35">
      <c r="BC323" s="158" t="s">
        <v>514</v>
      </c>
      <c r="BD323" s="161">
        <v>14201785</v>
      </c>
      <c r="BE323" s="161">
        <v>14982925</v>
      </c>
      <c r="BF323" s="161">
        <v>14892088</v>
      </c>
      <c r="BG323" s="161">
        <v>12378020</v>
      </c>
      <c r="BH323" s="161">
        <v>12333041</v>
      </c>
      <c r="BI323" s="161">
        <v>12327207</v>
      </c>
      <c r="BJ323" s="161">
        <v>10037621</v>
      </c>
      <c r="BK323" s="161">
        <v>9951674</v>
      </c>
      <c r="BL323" s="161">
        <v>7381071</v>
      </c>
      <c r="BM323" s="161">
        <v>7531748</v>
      </c>
      <c r="BN323" s="161">
        <v>5887622</v>
      </c>
      <c r="BO323" s="161">
        <v>6098912</v>
      </c>
      <c r="BP323" s="161">
        <v>6078835</v>
      </c>
      <c r="BQ323" s="161">
        <v>4222674</v>
      </c>
      <c r="BR323" s="161">
        <v>4573618</v>
      </c>
      <c r="BS323" s="161">
        <v>4704336</v>
      </c>
      <c r="BT323" s="161">
        <v>4791291</v>
      </c>
      <c r="BU323" s="161">
        <v>3868056</v>
      </c>
      <c r="BV323" s="161">
        <v>4241514</v>
      </c>
      <c r="BW323" s="161">
        <v>4279612</v>
      </c>
      <c r="BX323" s="161">
        <v>4315216</v>
      </c>
      <c r="BY323" s="161">
        <v>4397531</v>
      </c>
      <c r="BZ323" s="161">
        <v>5076457</v>
      </c>
      <c r="CA323" s="161">
        <v>5121234</v>
      </c>
      <c r="CB323" s="161">
        <v>5183954</v>
      </c>
      <c r="CC323" s="161">
        <v>5210161</v>
      </c>
    </row>
    <row r="324" spans="55:82" ht="30" customHeight="1" x14ac:dyDescent="0.35">
      <c r="BC324" s="86" t="s">
        <v>515</v>
      </c>
      <c r="BD324" s="179">
        <f>SUM(BD319,BD325:BD327)</f>
        <v>14778634</v>
      </c>
      <c r="BE324" s="179">
        <f t="shared" ref="BE324:CC324" si="13">SUM(BE319,BE325:BE327)</f>
        <v>14541556</v>
      </c>
      <c r="BF324" s="179">
        <f t="shared" si="13"/>
        <v>13624081</v>
      </c>
      <c r="BG324" s="179">
        <f t="shared" si="13"/>
        <v>11605248</v>
      </c>
      <c r="BH324" s="179">
        <f t="shared" si="13"/>
        <v>10640657</v>
      </c>
      <c r="BI324" s="179">
        <f t="shared" si="13"/>
        <v>10110766</v>
      </c>
      <c r="BJ324" s="179">
        <f t="shared" si="13"/>
        <v>8922755</v>
      </c>
      <c r="BK324" s="179">
        <f t="shared" si="13"/>
        <v>7319700</v>
      </c>
      <c r="BL324" s="179">
        <f t="shared" si="13"/>
        <v>6661763</v>
      </c>
      <c r="BM324" s="179">
        <f t="shared" si="13"/>
        <v>5862468</v>
      </c>
      <c r="BN324" s="179">
        <f t="shared" si="13"/>
        <v>5436874</v>
      </c>
      <c r="BO324" s="179">
        <f t="shared" si="13"/>
        <v>4868012</v>
      </c>
      <c r="BP324" s="179">
        <f t="shared" si="13"/>
        <v>4507664</v>
      </c>
      <c r="BQ324" s="179">
        <f t="shared" si="13"/>
        <v>3783140</v>
      </c>
      <c r="BR324" s="179">
        <f t="shared" si="13"/>
        <v>3854529</v>
      </c>
      <c r="BS324" s="179">
        <f t="shared" si="13"/>
        <v>3221079</v>
      </c>
      <c r="BT324" s="179">
        <f t="shared" si="13"/>
        <v>3418355</v>
      </c>
      <c r="BU324" s="179">
        <f t="shared" si="13"/>
        <v>3523808</v>
      </c>
      <c r="BV324" s="179">
        <f t="shared" si="13"/>
        <v>3637099</v>
      </c>
      <c r="BW324" s="179">
        <f t="shared" si="13"/>
        <v>2885339</v>
      </c>
      <c r="BX324" s="179">
        <f t="shared" si="13"/>
        <v>2274360</v>
      </c>
      <c r="BY324" s="179">
        <f t="shared" si="13"/>
        <v>2154975</v>
      </c>
      <c r="BZ324" s="179">
        <f t="shared" si="13"/>
        <v>1861705</v>
      </c>
      <c r="CA324" s="179">
        <f t="shared" si="13"/>
        <v>1876452</v>
      </c>
      <c r="CB324" s="179">
        <f t="shared" si="13"/>
        <v>3321822</v>
      </c>
      <c r="CC324" s="179">
        <f t="shared" si="13"/>
        <v>4033641</v>
      </c>
    </row>
    <row r="325" spans="55:82" ht="20.149999999999999" customHeight="1" x14ac:dyDescent="0.35">
      <c r="BC325" s="157" t="s">
        <v>516</v>
      </c>
      <c r="BD325" s="160">
        <v>-659587</v>
      </c>
      <c r="BE325" s="160">
        <v>-438376</v>
      </c>
      <c r="BF325" s="160">
        <v>-918869</v>
      </c>
      <c r="BG325" s="160">
        <v>-572790</v>
      </c>
      <c r="BH325" s="160">
        <v>-1112412</v>
      </c>
      <c r="BI325" s="160">
        <v>-1581388</v>
      </c>
      <c r="BJ325" s="160">
        <v>-951779</v>
      </c>
      <c r="BK325" s="160">
        <v>-942081</v>
      </c>
      <c r="BL325" s="160">
        <v>-610450</v>
      </c>
      <c r="BM325" s="160">
        <v>-1234159</v>
      </c>
      <c r="BN325" s="160">
        <v>-447967</v>
      </c>
      <c r="BO325" s="160">
        <v>-983161</v>
      </c>
      <c r="BP325" s="160">
        <v>-899048</v>
      </c>
      <c r="BQ325" s="160">
        <v>-440104</v>
      </c>
      <c r="BR325" s="160">
        <v>-440700</v>
      </c>
      <c r="BS325" s="160">
        <v>-571799</v>
      </c>
      <c r="BT325" s="160">
        <v>-788847</v>
      </c>
      <c r="BU325" s="160">
        <v>-346463</v>
      </c>
      <c r="BV325" s="160">
        <v>-198694</v>
      </c>
      <c r="BW325" s="160">
        <v>-204127</v>
      </c>
      <c r="BX325" s="160">
        <v>-580741</v>
      </c>
      <c r="BY325" s="160">
        <v>-691380</v>
      </c>
      <c r="BZ325" s="160">
        <v>-659045</v>
      </c>
      <c r="CA325" s="160">
        <v>-819642</v>
      </c>
      <c r="CB325" s="160">
        <v>-408447</v>
      </c>
      <c r="CC325" s="160">
        <v>-292589</v>
      </c>
    </row>
    <row r="326" spans="55:82" ht="20.149999999999999" customHeight="1" x14ac:dyDescent="0.35">
      <c r="BC326" s="157" t="s">
        <v>517</v>
      </c>
      <c r="BD326" s="160">
        <v>-282462</v>
      </c>
      <c r="BE326" s="160">
        <v>-2993</v>
      </c>
      <c r="BF326" s="160">
        <v>-349138</v>
      </c>
      <c r="BG326" s="160">
        <v>-199982</v>
      </c>
      <c r="BH326" s="160">
        <v>-579972</v>
      </c>
      <c r="BI326" s="160">
        <v>-635053</v>
      </c>
      <c r="BJ326" s="160">
        <v>-163087</v>
      </c>
      <c r="BK326" s="160">
        <v>-1689893</v>
      </c>
      <c r="BL326" s="160">
        <v>-108858</v>
      </c>
      <c r="BM326" s="160">
        <v>-435121</v>
      </c>
      <c r="BN326" s="160">
        <v>-2781</v>
      </c>
      <c r="BO326" s="160">
        <v>-247995</v>
      </c>
      <c r="BP326" s="160">
        <v>-672888</v>
      </c>
      <c r="BQ326" s="160">
        <v>-1003</v>
      </c>
      <c r="BR326" s="160">
        <v>-280769</v>
      </c>
      <c r="BS326" s="160">
        <v>-914646</v>
      </c>
      <c r="BT326" s="160">
        <v>-588085</v>
      </c>
      <c r="BU326" s="160">
        <v>-2604</v>
      </c>
      <c r="BV326" s="160">
        <v>-411368</v>
      </c>
      <c r="BW326" s="160">
        <v>-1196634</v>
      </c>
      <c r="BX326" s="160">
        <v>-1467445</v>
      </c>
      <c r="BY326" s="160">
        <v>-1574805</v>
      </c>
      <c r="BZ326" s="160">
        <v>-2576490</v>
      </c>
      <c r="CA326" s="160">
        <v>-2451964</v>
      </c>
      <c r="CB326" s="160">
        <v>-1480518</v>
      </c>
      <c r="CC326" s="160">
        <v>-926978</v>
      </c>
      <c r="CD326" s="533"/>
    </row>
    <row r="327" spans="55:82" ht="20.149999999999999" customHeight="1" thickBot="1" x14ac:dyDescent="0.4">
      <c r="BC327" s="181" t="s">
        <v>518</v>
      </c>
      <c r="BD327" s="182">
        <v>55212</v>
      </c>
      <c r="BE327" s="182">
        <v>0</v>
      </c>
      <c r="BF327" s="182">
        <v>0</v>
      </c>
      <c r="BG327" s="182">
        <v>0</v>
      </c>
      <c r="BH327" s="182">
        <v>0</v>
      </c>
      <c r="BI327" s="182">
        <v>0</v>
      </c>
      <c r="BJ327" s="182">
        <v>0</v>
      </c>
      <c r="BK327" s="182">
        <v>0</v>
      </c>
      <c r="BL327" s="182">
        <v>0</v>
      </c>
      <c r="BM327" s="182">
        <v>0</v>
      </c>
      <c r="BN327" s="182">
        <v>0</v>
      </c>
      <c r="BO327" s="182">
        <v>0</v>
      </c>
      <c r="BP327" s="182">
        <v>0</v>
      </c>
      <c r="BQ327" s="182">
        <v>0</v>
      </c>
      <c r="BR327" s="182">
        <v>0</v>
      </c>
      <c r="BS327" s="182">
        <v>0</v>
      </c>
      <c r="BT327" s="182">
        <v>0</v>
      </c>
      <c r="BU327" s="182">
        <v>0</v>
      </c>
      <c r="BV327" s="182"/>
      <c r="BW327" s="182">
        <v>0</v>
      </c>
      <c r="BX327" s="182">
        <v>0</v>
      </c>
      <c r="BY327" s="182">
        <v>0</v>
      </c>
      <c r="BZ327" s="182">
        <v>0</v>
      </c>
      <c r="CA327" s="182">
        <v>0</v>
      </c>
      <c r="CB327" s="182">
        <v>0</v>
      </c>
      <c r="CC327" s="182">
        <v>0</v>
      </c>
      <c r="CD327" s="533"/>
    </row>
    <row r="330" spans="55:82" ht="40" customHeight="1" x14ac:dyDescent="0.35">
      <c r="BC330" s="479" t="s">
        <v>117</v>
      </c>
      <c r="BD330" s="479"/>
      <c r="BE330" s="479"/>
      <c r="BF330" s="479"/>
      <c r="BG330" s="479"/>
      <c r="BH330" s="479"/>
      <c r="BI330" s="479"/>
      <c r="BJ330" s="479"/>
      <c r="BK330" s="479"/>
      <c r="BL330" s="479"/>
      <c r="BM330" s="479"/>
      <c r="BN330" s="479"/>
      <c r="BO330" s="479"/>
      <c r="BP330" s="479"/>
      <c r="BQ330" s="479"/>
      <c r="BR330" s="479"/>
      <c r="BS330" s="479"/>
      <c r="BT330" s="479"/>
      <c r="BU330" s="479"/>
      <c r="BV330" s="479"/>
      <c r="BW330" s="479"/>
      <c r="BX330" s="479"/>
      <c r="BY330" s="479"/>
      <c r="BZ330" s="479"/>
      <c r="CA330" s="479"/>
      <c r="CB330" s="479"/>
      <c r="CC330" s="479"/>
    </row>
    <row r="331" spans="55:82" ht="15" customHeight="1" x14ac:dyDescent="0.35">
      <c r="BC331" s="427" t="s">
        <v>25</v>
      </c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126"/>
    </row>
    <row r="332" spans="55:82" ht="35.15" customHeight="1" x14ac:dyDescent="0.35">
      <c r="BC332" s="183" t="s">
        <v>437</v>
      </c>
      <c r="BD332" s="180" t="s">
        <v>246</v>
      </c>
      <c r="BE332" s="180" t="s">
        <v>247</v>
      </c>
      <c r="BF332" s="180" t="s">
        <v>234</v>
      </c>
      <c r="BG332" s="180" t="s">
        <v>248</v>
      </c>
      <c r="BH332" s="180" t="s">
        <v>249</v>
      </c>
      <c r="BI332" s="180" t="s">
        <v>250</v>
      </c>
      <c r="BJ332" s="180" t="s">
        <v>251</v>
      </c>
      <c r="BK332" s="180" t="s">
        <v>252</v>
      </c>
      <c r="BL332" s="180" t="s">
        <v>253</v>
      </c>
      <c r="BM332" s="180" t="s">
        <v>254</v>
      </c>
      <c r="BN332" s="180" t="s">
        <v>255</v>
      </c>
      <c r="BO332" s="180" t="s">
        <v>256</v>
      </c>
      <c r="BP332" s="180" t="s">
        <v>257</v>
      </c>
      <c r="BQ332" s="180" t="s">
        <v>258</v>
      </c>
      <c r="BR332" s="180" t="s">
        <v>259</v>
      </c>
      <c r="BS332" s="180" t="s">
        <v>260</v>
      </c>
      <c r="BT332" s="180" t="s">
        <v>261</v>
      </c>
      <c r="BU332" s="180" t="s">
        <v>262</v>
      </c>
      <c r="BV332" s="180" t="s">
        <v>263</v>
      </c>
      <c r="BW332" s="180" t="s">
        <v>264</v>
      </c>
      <c r="BX332" s="180" t="s">
        <v>265</v>
      </c>
      <c r="BY332" s="180" t="s">
        <v>266</v>
      </c>
      <c r="BZ332" s="180" t="s">
        <v>267</v>
      </c>
      <c r="CA332" s="180" t="s">
        <v>268</v>
      </c>
      <c r="CB332" s="180" t="s">
        <v>269</v>
      </c>
      <c r="CC332" s="180" t="s">
        <v>270</v>
      </c>
    </row>
    <row r="333" spans="55:82" ht="30" customHeight="1" x14ac:dyDescent="0.35">
      <c r="BC333" s="86" t="s">
        <v>510</v>
      </c>
      <c r="BD333" s="179">
        <f>SUM(BD334,BD337)</f>
        <v>5224301</v>
      </c>
      <c r="BE333" s="179">
        <f>SUM(BE334,BE337)</f>
        <v>3190730</v>
      </c>
      <c r="BF333" s="179">
        <f>SUM(BF334,BF337)</f>
        <v>3155368</v>
      </c>
      <c r="BG333" s="179">
        <f t="shared" ref="BG333:CC333" si="14">SUM(BG334,BG337)</f>
        <v>1920597</v>
      </c>
      <c r="BH333" s="179">
        <f t="shared" si="14"/>
        <v>1689097</v>
      </c>
      <c r="BI333" s="179">
        <f t="shared" si="14"/>
        <v>1692935</v>
      </c>
      <c r="BJ333" s="179">
        <f t="shared" si="14"/>
        <v>1031924</v>
      </c>
      <c r="BK333" s="179">
        <f t="shared" si="14"/>
        <v>3200809</v>
      </c>
      <c r="BL333" s="179">
        <f t="shared" si="14"/>
        <v>3156086</v>
      </c>
      <c r="BM333" s="179">
        <f t="shared" si="14"/>
        <v>3014062</v>
      </c>
      <c r="BN333" s="179">
        <f t="shared" si="14"/>
        <v>2868093</v>
      </c>
      <c r="BO333" s="179">
        <f t="shared" si="14"/>
        <v>4954690</v>
      </c>
      <c r="BP333" s="179">
        <f t="shared" si="14"/>
        <v>4672506</v>
      </c>
      <c r="BQ333" s="179">
        <f t="shared" si="14"/>
        <v>5001500</v>
      </c>
      <c r="BR333" s="179">
        <f t="shared" si="14"/>
        <v>4959066</v>
      </c>
      <c r="BS333" s="179">
        <f t="shared" si="14"/>
        <v>5577738</v>
      </c>
      <c r="BT333" s="179">
        <f t="shared" si="14"/>
        <v>5259126</v>
      </c>
      <c r="BU333" s="179">
        <f t="shared" si="14"/>
        <v>4882483</v>
      </c>
      <c r="BV333" s="179">
        <f t="shared" si="14"/>
        <v>6029460</v>
      </c>
      <c r="BW333" s="179">
        <f t="shared" si="14"/>
        <v>6013281</v>
      </c>
      <c r="BX333" s="179">
        <f t="shared" si="14"/>
        <v>7931930</v>
      </c>
      <c r="BY333" s="179">
        <f t="shared" si="14"/>
        <v>9201571</v>
      </c>
      <c r="BZ333" s="179">
        <f t="shared" si="14"/>
        <v>8885711</v>
      </c>
      <c r="CA333" s="179">
        <f t="shared" si="14"/>
        <v>9948859</v>
      </c>
      <c r="CB333" s="179">
        <f t="shared" si="14"/>
        <v>9564288</v>
      </c>
      <c r="CC333" s="179">
        <f t="shared" si="14"/>
        <v>9418618</v>
      </c>
    </row>
    <row r="334" spans="55:82" ht="25" customHeight="1" x14ac:dyDescent="0.35">
      <c r="BC334" s="158" t="s">
        <v>511</v>
      </c>
      <c r="BD334" s="161">
        <f>SUM(BD335:BD336)</f>
        <v>215148</v>
      </c>
      <c r="BE334" s="161">
        <f t="shared" ref="BE334" si="15">SUM(BE335:BE336)</f>
        <v>215539</v>
      </c>
      <c r="BF334" s="161">
        <f>SUM(BF335:BF336)</f>
        <v>224181</v>
      </c>
      <c r="BG334" s="161">
        <f>SUM(BG335:BG336)</f>
        <v>214186</v>
      </c>
      <c r="BH334" s="161">
        <f t="shared" ref="BH334:CC334" si="16">SUM(BH335:BH336)</f>
        <v>0</v>
      </c>
      <c r="BI334" s="161">
        <f t="shared" si="16"/>
        <v>0</v>
      </c>
      <c r="BJ334" s="161">
        <f t="shared" si="16"/>
        <v>0</v>
      </c>
      <c r="BK334" s="161">
        <f t="shared" si="16"/>
        <v>2147796</v>
      </c>
      <c r="BL334" s="161">
        <f t="shared" si="16"/>
        <v>2133148</v>
      </c>
      <c r="BM334" s="161">
        <f t="shared" si="16"/>
        <v>1968173</v>
      </c>
      <c r="BN334" s="161">
        <f t="shared" si="16"/>
        <v>1854093</v>
      </c>
      <c r="BO334" s="161">
        <f t="shared" si="16"/>
        <v>3911139</v>
      </c>
      <c r="BP334" s="161">
        <f t="shared" si="16"/>
        <v>3662763</v>
      </c>
      <c r="BQ334" s="161">
        <f t="shared" si="16"/>
        <v>3964520</v>
      </c>
      <c r="BR334" s="161">
        <f t="shared" si="16"/>
        <v>3959805</v>
      </c>
      <c r="BS334" s="161">
        <f t="shared" si="16"/>
        <v>5577738</v>
      </c>
      <c r="BT334" s="161">
        <f t="shared" si="16"/>
        <v>5259126</v>
      </c>
      <c r="BU334" s="161">
        <f t="shared" si="16"/>
        <v>4882483</v>
      </c>
      <c r="BV334" s="161">
        <f t="shared" si="16"/>
        <v>5601097</v>
      </c>
      <c r="BW334" s="161">
        <f t="shared" si="16"/>
        <v>5605439</v>
      </c>
      <c r="BX334" s="161">
        <f t="shared" si="16"/>
        <v>7539862</v>
      </c>
      <c r="BY334" s="161">
        <f t="shared" si="16"/>
        <v>8829600</v>
      </c>
      <c r="BZ334" s="161">
        <f t="shared" si="16"/>
        <v>7844271</v>
      </c>
      <c r="CA334" s="161">
        <f t="shared" si="16"/>
        <v>8868987</v>
      </c>
      <c r="CB334" s="161">
        <f t="shared" si="16"/>
        <v>8416042</v>
      </c>
      <c r="CC334" s="161">
        <f t="shared" si="16"/>
        <v>8203886</v>
      </c>
    </row>
    <row r="335" spans="55:82" ht="20.149999999999999" customHeight="1" x14ac:dyDescent="0.35">
      <c r="BC335" s="49" t="s">
        <v>512</v>
      </c>
      <c r="BD335" s="160">
        <v>215148</v>
      </c>
      <c r="BE335" s="160">
        <v>215539</v>
      </c>
      <c r="BF335" s="160">
        <v>224181</v>
      </c>
      <c r="BG335" s="160">
        <v>214186</v>
      </c>
      <c r="BH335" s="160">
        <v>0</v>
      </c>
      <c r="BI335" s="160">
        <v>0</v>
      </c>
      <c r="BJ335" s="160">
        <v>0</v>
      </c>
      <c r="BK335" s="160">
        <v>2147796</v>
      </c>
      <c r="BL335" s="160">
        <v>2133148</v>
      </c>
      <c r="BM335" s="160">
        <v>1968173</v>
      </c>
      <c r="BN335" s="160">
        <v>1854093</v>
      </c>
      <c r="BO335" s="160">
        <v>3911139</v>
      </c>
      <c r="BP335" s="160">
        <v>3662763</v>
      </c>
      <c r="BQ335" s="160">
        <v>3964520</v>
      </c>
      <c r="BR335" s="160">
        <v>3959805</v>
      </c>
      <c r="BS335" s="160">
        <v>5577738</v>
      </c>
      <c r="BT335" s="160">
        <v>5259126</v>
      </c>
      <c r="BU335" s="160">
        <v>4882483</v>
      </c>
      <c r="BV335" s="160">
        <v>5601097</v>
      </c>
      <c r="BW335" s="160">
        <v>5605439</v>
      </c>
      <c r="BX335" s="160">
        <v>7523214</v>
      </c>
      <c r="BY335" s="160">
        <v>8804151</v>
      </c>
      <c r="BZ335" s="160">
        <v>7812981</v>
      </c>
      <c r="CA335" s="160">
        <v>8712222</v>
      </c>
      <c r="CB335" s="160">
        <v>8231132</v>
      </c>
      <c r="CC335" s="160">
        <v>8022316</v>
      </c>
    </row>
    <row r="336" spans="55:82" ht="20.149999999999999" customHeight="1" x14ac:dyDescent="0.35">
      <c r="BC336" s="49" t="s">
        <v>513</v>
      </c>
      <c r="BD336" s="220">
        <v>0</v>
      </c>
      <c r="BE336" s="160">
        <v>0</v>
      </c>
      <c r="BF336" s="160">
        <v>0</v>
      </c>
      <c r="BG336" s="160">
        <v>0</v>
      </c>
      <c r="BH336" s="160">
        <v>0</v>
      </c>
      <c r="BI336" s="160">
        <v>0</v>
      </c>
      <c r="BJ336" s="160">
        <v>0</v>
      </c>
      <c r="BK336" s="160">
        <v>0</v>
      </c>
      <c r="BL336" s="160">
        <v>0</v>
      </c>
      <c r="BM336" s="160">
        <v>0</v>
      </c>
      <c r="BN336" s="160">
        <v>0</v>
      </c>
      <c r="BO336" s="160">
        <v>0</v>
      </c>
      <c r="BP336" s="160">
        <v>0</v>
      </c>
      <c r="BQ336" s="160">
        <v>0</v>
      </c>
      <c r="BR336" s="160">
        <v>0</v>
      </c>
      <c r="BS336" s="160">
        <v>0</v>
      </c>
      <c r="BT336" s="160">
        <v>0</v>
      </c>
      <c r="BU336" s="160">
        <v>0</v>
      </c>
      <c r="BV336" s="160">
        <v>0</v>
      </c>
      <c r="BW336" s="160">
        <v>0</v>
      </c>
      <c r="BX336" s="160">
        <v>16648</v>
      </c>
      <c r="BY336" s="160">
        <v>25449</v>
      </c>
      <c r="BZ336" s="160">
        <v>31290</v>
      </c>
      <c r="CA336" s="160">
        <v>156765</v>
      </c>
      <c r="CB336" s="160">
        <v>184910</v>
      </c>
      <c r="CC336" s="160">
        <v>181570</v>
      </c>
    </row>
    <row r="337" spans="55:81" ht="25" customHeight="1" x14ac:dyDescent="0.35">
      <c r="BC337" s="158" t="s">
        <v>514</v>
      </c>
      <c r="BD337" s="161">
        <v>5009153</v>
      </c>
      <c r="BE337" s="161">
        <v>2975191</v>
      </c>
      <c r="BF337" s="161">
        <v>2931187</v>
      </c>
      <c r="BG337" s="161">
        <v>1706411</v>
      </c>
      <c r="BH337" s="161">
        <v>1689097</v>
      </c>
      <c r="BI337" s="161">
        <v>1692935</v>
      </c>
      <c r="BJ337" s="161">
        <v>1031924</v>
      </c>
      <c r="BK337" s="161">
        <v>1053013</v>
      </c>
      <c r="BL337" s="161">
        <v>1022938</v>
      </c>
      <c r="BM337" s="161">
        <v>1045889</v>
      </c>
      <c r="BN337" s="161">
        <v>1014000</v>
      </c>
      <c r="BO337" s="161">
        <v>1043551</v>
      </c>
      <c r="BP337" s="161">
        <v>1009743</v>
      </c>
      <c r="BQ337" s="161">
        <v>1036980</v>
      </c>
      <c r="BR337" s="161">
        <v>999261</v>
      </c>
      <c r="BS337" s="161">
        <v>0</v>
      </c>
      <c r="BT337" s="161">
        <v>0</v>
      </c>
      <c r="BU337" s="161">
        <v>0</v>
      </c>
      <c r="BV337" s="161">
        <v>428363</v>
      </c>
      <c r="BW337" s="161">
        <v>407842</v>
      </c>
      <c r="BX337" s="161">
        <v>392068</v>
      </c>
      <c r="BY337" s="161">
        <v>371971</v>
      </c>
      <c r="BZ337" s="161">
        <v>1041440</v>
      </c>
      <c r="CA337" s="161">
        <v>1079872</v>
      </c>
      <c r="CB337" s="161">
        <v>1148246</v>
      </c>
      <c r="CC337" s="161">
        <v>1214732</v>
      </c>
    </row>
    <row r="338" spans="55:81" ht="30" customHeight="1" x14ac:dyDescent="0.35">
      <c r="BC338" s="86" t="s">
        <v>515</v>
      </c>
      <c r="BD338" s="179">
        <f t="shared" ref="BD338" si="17">SUM(BD333,BD339:BD341)</f>
        <v>3544215</v>
      </c>
      <c r="BE338" s="179">
        <f>SUM(BE333,BE339:BE341)</f>
        <v>2451920</v>
      </c>
      <c r="BF338" s="179">
        <f>SUM(BF333,BF339:BF341)</f>
        <v>2682969</v>
      </c>
      <c r="BG338" s="179">
        <f t="shared" ref="BG338:CC338" si="18">SUM(BG333,BG339:BG341)</f>
        <v>988289</v>
      </c>
      <c r="BH338" s="179">
        <f t="shared" si="18"/>
        <v>1058079</v>
      </c>
      <c r="BI338" s="179">
        <f t="shared" si="18"/>
        <v>313994</v>
      </c>
      <c r="BJ338" s="179">
        <f t="shared" si="18"/>
        <v>489358</v>
      </c>
      <c r="BK338" s="179">
        <f t="shared" si="18"/>
        <v>-803792</v>
      </c>
      <c r="BL338" s="179">
        <f t="shared" si="18"/>
        <v>1510859</v>
      </c>
      <c r="BM338" s="179">
        <f t="shared" si="18"/>
        <v>1351202</v>
      </c>
      <c r="BN338" s="179">
        <f t="shared" si="18"/>
        <v>1562524</v>
      </c>
      <c r="BO338" s="179">
        <f t="shared" si="18"/>
        <v>2881512</v>
      </c>
      <c r="BP338" s="179">
        <f t="shared" si="18"/>
        <v>3140360</v>
      </c>
      <c r="BQ338" s="179">
        <f t="shared" si="18"/>
        <v>2779488</v>
      </c>
      <c r="BR338" s="179">
        <f t="shared" si="18"/>
        <v>2696414</v>
      </c>
      <c r="BS338" s="179">
        <f t="shared" si="18"/>
        <v>2672865</v>
      </c>
      <c r="BT338" s="179">
        <f t="shared" si="18"/>
        <v>2957755</v>
      </c>
      <c r="BU338" s="179">
        <f t="shared" si="18"/>
        <v>2976219</v>
      </c>
      <c r="BV338" s="179">
        <f t="shared" si="18"/>
        <v>3555444</v>
      </c>
      <c r="BW338" s="179">
        <f t="shared" si="18"/>
        <v>3656914</v>
      </c>
      <c r="BX338" s="179">
        <f t="shared" si="18"/>
        <v>4334672</v>
      </c>
      <c r="BY338" s="179">
        <f t="shared" si="18"/>
        <v>4767381</v>
      </c>
      <c r="BZ338" s="179">
        <f t="shared" si="18"/>
        <v>4165622</v>
      </c>
      <c r="CA338" s="179">
        <f t="shared" si="18"/>
        <v>4901119</v>
      </c>
      <c r="CB338" s="179">
        <f t="shared" si="18"/>
        <v>4921769</v>
      </c>
      <c r="CC338" s="179">
        <f t="shared" si="18"/>
        <v>5556299</v>
      </c>
    </row>
    <row r="339" spans="55:81" ht="20.149999999999999" customHeight="1" x14ac:dyDescent="0.35">
      <c r="BC339" s="157" t="s">
        <v>516</v>
      </c>
      <c r="BD339" s="160">
        <v>-1207364</v>
      </c>
      <c r="BE339" s="160">
        <v>-541423</v>
      </c>
      <c r="BF339" s="160">
        <v>-226202</v>
      </c>
      <c r="BG339" s="160">
        <v>-419808</v>
      </c>
      <c r="BH339" s="160">
        <v>-259554</v>
      </c>
      <c r="BI339" s="160">
        <v>-588012</v>
      </c>
      <c r="BJ339" s="160">
        <v>-233739</v>
      </c>
      <c r="BK339" s="160">
        <v>-2135269</v>
      </c>
      <c r="BL339" s="160">
        <v>-309091</v>
      </c>
      <c r="BM339" s="160">
        <v>-199059</v>
      </c>
      <c r="BN339" s="160">
        <v>-361954</v>
      </c>
      <c r="BO339" s="160">
        <v>-530682</v>
      </c>
      <c r="BP339" s="160">
        <v>-544277</v>
      </c>
      <c r="BQ339" s="160">
        <v>-325711</v>
      </c>
      <c r="BR339" s="160">
        <v>-292980</v>
      </c>
      <c r="BS339" s="160">
        <v>-598888</v>
      </c>
      <c r="BT339" s="160">
        <v>-421321</v>
      </c>
      <c r="BU339" s="160">
        <v>-342470</v>
      </c>
      <c r="BV339" s="160">
        <v>-123071</v>
      </c>
      <c r="BW339" s="160">
        <v>-160268</v>
      </c>
      <c r="BX339" s="160">
        <v>-743809</v>
      </c>
      <c r="BY339" s="160">
        <v>-550820</v>
      </c>
      <c r="BZ339" s="160">
        <v>-384397</v>
      </c>
      <c r="CA339" s="160">
        <v>-296513</v>
      </c>
      <c r="CB339" s="160">
        <v>-248567</v>
      </c>
      <c r="CC339" s="160">
        <v>-346754</v>
      </c>
    </row>
    <row r="340" spans="55:81" ht="20.149999999999999" customHeight="1" x14ac:dyDescent="0.35">
      <c r="BC340" s="157" t="s">
        <v>517</v>
      </c>
      <c r="BD340" s="160">
        <v>-505034</v>
      </c>
      <c r="BE340" s="160">
        <v>-223414</v>
      </c>
      <c r="BF340" s="160">
        <v>-237689</v>
      </c>
      <c r="BG340" s="160">
        <v>-502328</v>
      </c>
      <c r="BH340" s="160">
        <v>-371464</v>
      </c>
      <c r="BI340" s="160">
        <v>-790929</v>
      </c>
      <c r="BJ340" s="160">
        <v>-308827</v>
      </c>
      <c r="BK340" s="160">
        <v>-1369422</v>
      </c>
      <c r="BL340" s="160">
        <v>-849511</v>
      </c>
      <c r="BM340" s="160">
        <v>-1053718</v>
      </c>
      <c r="BN340" s="160">
        <v>-575564</v>
      </c>
      <c r="BO340" s="160">
        <v>-1205707</v>
      </c>
      <c r="BP340" s="160">
        <v>-753507</v>
      </c>
      <c r="BQ340" s="160">
        <v>-1296818</v>
      </c>
      <c r="BR340" s="160">
        <v>-1357464</v>
      </c>
      <c r="BS340" s="160">
        <v>-1584890</v>
      </c>
      <c r="BT340" s="160">
        <v>-1033526</v>
      </c>
      <c r="BU340" s="160">
        <v>-807395</v>
      </c>
      <c r="BV340" s="160">
        <v>-1137899</v>
      </c>
      <c r="BW340" s="160">
        <v>-893460</v>
      </c>
      <c r="BX340" s="160">
        <v>-1562745</v>
      </c>
      <c r="BY340" s="160">
        <v>-1121788</v>
      </c>
      <c r="BZ340" s="160">
        <v>-1386762</v>
      </c>
      <c r="CA340" s="160">
        <v>-1467085</v>
      </c>
      <c r="CB340" s="160">
        <v>-1112461</v>
      </c>
      <c r="CC340" s="160">
        <v>-510381</v>
      </c>
    </row>
    <row r="341" spans="55:81" ht="20.149999999999999" customHeight="1" thickBot="1" x14ac:dyDescent="0.4">
      <c r="BC341" s="181" t="s">
        <v>518</v>
      </c>
      <c r="BD341" s="182">
        <v>32312</v>
      </c>
      <c r="BE341" s="182">
        <v>26027</v>
      </c>
      <c r="BF341" s="182">
        <v>-8508</v>
      </c>
      <c r="BG341" s="182">
        <v>-10172</v>
      </c>
      <c r="BH341" s="182">
        <v>0</v>
      </c>
      <c r="BI341" s="182">
        <v>0</v>
      </c>
      <c r="BJ341" s="182">
        <v>0</v>
      </c>
      <c r="BK341" s="182">
        <v>-499910</v>
      </c>
      <c r="BL341" s="182">
        <v>-486625</v>
      </c>
      <c r="BM341" s="182">
        <v>-410083</v>
      </c>
      <c r="BN341" s="182">
        <v>-368051</v>
      </c>
      <c r="BO341" s="182">
        <v>-336789</v>
      </c>
      <c r="BP341" s="182">
        <v>-234362</v>
      </c>
      <c r="BQ341" s="182">
        <v>-599483</v>
      </c>
      <c r="BR341" s="182">
        <v>-612208</v>
      </c>
      <c r="BS341" s="182">
        <v>-721095</v>
      </c>
      <c r="BT341" s="182">
        <v>-846524</v>
      </c>
      <c r="BU341" s="182">
        <v>-756399</v>
      </c>
      <c r="BV341" s="182">
        <v>-1213046</v>
      </c>
      <c r="BW341" s="182">
        <v>-1302639</v>
      </c>
      <c r="BX341" s="182">
        <v>-1290704</v>
      </c>
      <c r="BY341" s="182">
        <v>-2761582</v>
      </c>
      <c r="BZ341" s="182">
        <v>-2948930</v>
      </c>
      <c r="CA341" s="182">
        <v>-3284142</v>
      </c>
      <c r="CB341" s="182">
        <v>-3281491</v>
      </c>
      <c r="CC341" s="182">
        <v>-3005184</v>
      </c>
    </row>
    <row r="934" spans="2:4" s="1" customFormat="1" ht="19" customHeight="1" x14ac:dyDescent="0.35">
      <c r="B934" s="505"/>
      <c r="C934" s="505"/>
      <c r="D934" s="505"/>
    </row>
    <row r="935" spans="2:4" s="1" customFormat="1" ht="19" customHeight="1" x14ac:dyDescent="0.35">
      <c r="B935" s="29"/>
      <c r="C935" s="29"/>
      <c r="D935" s="29"/>
    </row>
    <row r="936" spans="2:4" s="1" customFormat="1" ht="19" customHeight="1" x14ac:dyDescent="0.35">
      <c r="B936" s="493"/>
      <c r="C936" s="493"/>
      <c r="D936" s="111"/>
    </row>
  </sheetData>
  <mergeCells count="13">
    <mergeCell ref="F20:I20"/>
    <mergeCell ref="F21:H21"/>
    <mergeCell ref="BC300:CC300"/>
    <mergeCell ref="B4:E4"/>
    <mergeCell ref="B934:D934"/>
    <mergeCell ref="BC302:CC302"/>
    <mergeCell ref="BC316:CC316"/>
    <mergeCell ref="BC330:CC330"/>
    <mergeCell ref="B936:C936"/>
    <mergeCell ref="B20:B22"/>
    <mergeCell ref="C20:C22"/>
    <mergeCell ref="D20:D22"/>
    <mergeCell ref="E20:E22"/>
  </mergeCells>
  <phoneticPr fontId="12" type="noConversion"/>
  <pageMargins left="0.511811024" right="0.511811024" top="0.78740157499999996" bottom="0.78740157499999996" header="0.31496062000000002" footer="0.31496062000000002"/>
  <ignoredErrors>
    <ignoredError sqref="H46" formula="1"/>
    <ignoredError sqref="BD306:BF306 BG306:CC306 BD320:CC320 BD334:CC334" formulaRange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27A9-1C94-43E1-9BBB-DDD0C4003671}">
  <sheetPr>
    <tabColor rgb="FF17772E"/>
  </sheetPr>
  <dimension ref="A4:CC912"/>
  <sheetViews>
    <sheetView showGridLines="0" workbookViewId="0"/>
  </sheetViews>
  <sheetFormatPr defaultColWidth="8.7265625" defaultRowHeight="18" customHeight="1" x14ac:dyDescent="0.35"/>
  <cols>
    <col min="1" max="1" width="2.54296875" style="1" customWidth="1"/>
    <col min="2" max="2" width="32.54296875" style="1" customWidth="1"/>
    <col min="3" max="5" width="20.54296875" style="1" customWidth="1"/>
    <col min="6" max="7" width="8.7265625" style="1"/>
    <col min="8" max="8" width="9.54296875" style="1" bestFit="1" customWidth="1"/>
    <col min="9" max="65" width="8.7265625" style="1"/>
    <col min="66" max="66" width="16.7265625" style="1" customWidth="1"/>
    <col min="67" max="67" width="32.54296875" style="34" customWidth="1"/>
    <col min="68" max="81" width="15.54296875" style="34" customWidth="1"/>
    <col min="82" max="82" width="9.1796875" style="34" bestFit="1" customWidth="1"/>
    <col min="83" max="87" width="7.54296875" style="34" bestFit="1" customWidth="1"/>
    <col min="88" max="88" width="10.1796875" style="34" bestFit="1" customWidth="1"/>
    <col min="89" max="94" width="20.54296875" style="34" customWidth="1"/>
    <col min="95" max="16384" width="8.7265625" style="34"/>
  </cols>
  <sheetData>
    <row r="4" spans="2:8" s="1" customFormat="1" ht="45" customHeight="1" x14ac:dyDescent="0.35">
      <c r="B4" s="481" t="s">
        <v>520</v>
      </c>
      <c r="C4" s="481"/>
      <c r="D4" s="481"/>
      <c r="E4" s="481"/>
    </row>
    <row r="5" spans="2:8" s="1" customFormat="1" ht="15" customHeight="1" x14ac:dyDescent="0.35">
      <c r="B5" s="2" t="s">
        <v>25</v>
      </c>
      <c r="C5" s="29"/>
      <c r="D5" s="29"/>
      <c r="E5" s="29"/>
    </row>
    <row r="6" spans="2:8" s="1" customFormat="1" ht="28" customHeight="1" x14ac:dyDescent="0.35">
      <c r="B6" s="163"/>
      <c r="C6" s="167" t="s">
        <v>850</v>
      </c>
      <c r="D6" s="167" t="s">
        <v>849</v>
      </c>
      <c r="E6" s="164" t="s">
        <v>5</v>
      </c>
    </row>
    <row r="7" spans="2:8" s="1" customFormat="1" ht="18" customHeight="1" x14ac:dyDescent="0.35">
      <c r="B7" s="49"/>
      <c r="C7" s="154"/>
      <c r="D7" s="154"/>
      <c r="E7" s="153"/>
    </row>
    <row r="8" spans="2:8" s="1" customFormat="1" ht="20.149999999999999" customHeight="1" x14ac:dyDescent="0.35">
      <c r="B8" s="141" t="s">
        <v>137</v>
      </c>
      <c r="C8" s="457">
        <v>37</v>
      </c>
      <c r="D8" s="457">
        <v>109</v>
      </c>
      <c r="E8" s="403">
        <f>IFERROR(((C8/D8)-1)*100,0)</f>
        <v>-66.055045871559642</v>
      </c>
    </row>
    <row r="9" spans="2:8" s="1" customFormat="1" ht="18" customHeight="1" x14ac:dyDescent="0.35">
      <c r="B9" s="49"/>
      <c r="C9" s="457"/>
      <c r="D9" s="401"/>
      <c r="E9" s="403"/>
    </row>
    <row r="10" spans="2:8" s="1" customFormat="1" ht="20.149999999999999" customHeight="1" x14ac:dyDescent="0.35">
      <c r="B10" s="141" t="s">
        <v>138</v>
      </c>
      <c r="C10" s="457">
        <v>275</v>
      </c>
      <c r="D10" s="457">
        <v>200</v>
      </c>
      <c r="E10" s="403">
        <f t="shared" ref="E10:E16" si="0">IFERROR(((C10/D10)-1)*100,0)</f>
        <v>37.5</v>
      </c>
    </row>
    <row r="11" spans="2:8" s="1" customFormat="1" ht="18" customHeight="1" x14ac:dyDescent="0.35">
      <c r="B11" s="141"/>
      <c r="C11" s="457"/>
      <c r="D11" s="401"/>
      <c r="E11" s="403"/>
      <c r="H11" s="430"/>
    </row>
    <row r="12" spans="2:8" s="1" customFormat="1" ht="20.149999999999999" customHeight="1" x14ac:dyDescent="0.35">
      <c r="B12" s="141" t="s">
        <v>140</v>
      </c>
      <c r="C12" s="457">
        <v>2637</v>
      </c>
      <c r="D12" s="457">
        <v>2156</v>
      </c>
      <c r="E12" s="403">
        <f t="shared" si="0"/>
        <v>22.309833024118731</v>
      </c>
    </row>
    <row r="13" spans="2:8" s="1" customFormat="1" ht="18" customHeight="1" x14ac:dyDescent="0.35">
      <c r="B13" s="141"/>
      <c r="C13" s="457"/>
      <c r="D13" s="401"/>
      <c r="E13" s="403"/>
    </row>
    <row r="14" spans="2:8" s="1" customFormat="1" ht="20.149999999999999" customHeight="1" x14ac:dyDescent="0.35">
      <c r="B14" s="141" t="s">
        <v>141</v>
      </c>
      <c r="C14" s="457">
        <v>92</v>
      </c>
      <c r="D14" s="457">
        <v>164</v>
      </c>
      <c r="E14" s="403">
        <f t="shared" si="0"/>
        <v>-43.90243902439024</v>
      </c>
    </row>
    <row r="15" spans="2:8" ht="18" customHeight="1" x14ac:dyDescent="0.35">
      <c r="C15" s="27"/>
      <c r="D15" s="402"/>
      <c r="E15" s="402"/>
    </row>
    <row r="16" spans="2:8" s="1" customFormat="1" ht="20.149999999999999" customHeight="1" x14ac:dyDescent="0.35">
      <c r="B16" s="232" t="s">
        <v>858</v>
      </c>
      <c r="C16" s="458">
        <v>237</v>
      </c>
      <c r="D16" s="458">
        <v>122</v>
      </c>
      <c r="E16" s="404">
        <f t="shared" si="0"/>
        <v>94.262295081967224</v>
      </c>
    </row>
    <row r="17" spans="2:5" s="1" customFormat="1" ht="18" customHeight="1" x14ac:dyDescent="0.35">
      <c r="B17" s="141"/>
      <c r="C17" s="457"/>
      <c r="D17" s="401"/>
      <c r="E17" s="403"/>
    </row>
    <row r="18" spans="2:5" s="1" customFormat="1" ht="20.149999999999999" customHeight="1" x14ac:dyDescent="0.35">
      <c r="B18" s="141" t="s">
        <v>142</v>
      </c>
      <c r="C18" s="457">
        <v>4</v>
      </c>
      <c r="D18" s="457">
        <v>2</v>
      </c>
      <c r="E18" s="403">
        <f>IFERROR(((C18/D18)-1)*100,0)</f>
        <v>100</v>
      </c>
    </row>
    <row r="19" spans="2:5" s="1" customFormat="1" ht="18" customHeight="1" x14ac:dyDescent="0.35">
      <c r="B19" s="141"/>
      <c r="C19" s="154"/>
      <c r="D19" s="154"/>
      <c r="E19" s="198"/>
    </row>
    <row r="20" spans="2:5" s="1" customFormat="1" ht="28" customHeight="1" x14ac:dyDescent="0.35">
      <c r="B20" s="48" t="s">
        <v>440</v>
      </c>
      <c r="C20" s="58">
        <f>SUM(C8,C10,C12,C14,C16,C18)</f>
        <v>3282</v>
      </c>
      <c r="D20" s="58">
        <f>SUM(D8,D10,D12,D14,D16,D18)</f>
        <v>2753</v>
      </c>
      <c r="E20" s="199">
        <f>IFERROR(((C20/D20)-1)*100,0)</f>
        <v>19.215401380312393</v>
      </c>
    </row>
    <row r="202" spans="67:81" s="1" customFormat="1" ht="45" customHeight="1" x14ac:dyDescent="0.35">
      <c r="BO202" s="506" t="s">
        <v>522</v>
      </c>
      <c r="BP202" s="506"/>
      <c r="BQ202" s="506"/>
      <c r="BR202" s="506"/>
      <c r="BS202" s="506"/>
      <c r="BT202" s="506"/>
      <c r="BU202" s="506"/>
      <c r="BV202" s="506"/>
      <c r="BW202" s="506"/>
      <c r="BX202" s="506"/>
      <c r="BY202" s="506"/>
      <c r="BZ202" s="506"/>
      <c r="CA202" s="506"/>
      <c r="CB202" s="506"/>
      <c r="CC202" s="506"/>
    </row>
    <row r="203" spans="67:81" s="1" customFormat="1" ht="19" customHeight="1" x14ac:dyDescent="0.35">
      <c r="BO203" s="2" t="s">
        <v>25</v>
      </c>
    </row>
    <row r="204" spans="67:81" ht="30" customHeight="1" x14ac:dyDescent="0.35">
      <c r="BO204" s="163"/>
      <c r="BP204" s="167" t="s">
        <v>26</v>
      </c>
      <c r="BQ204" s="167" t="s">
        <v>2</v>
      </c>
      <c r="BR204" s="167" t="s">
        <v>22</v>
      </c>
      <c r="BS204" s="167" t="s">
        <v>27</v>
      </c>
      <c r="BT204" s="167" t="s">
        <v>28</v>
      </c>
      <c r="BU204" s="167" t="s">
        <v>29</v>
      </c>
      <c r="BV204" s="167" t="s">
        <v>30</v>
      </c>
      <c r="BW204" s="167" t="s">
        <v>31</v>
      </c>
      <c r="BX204" s="167" t="s">
        <v>32</v>
      </c>
      <c r="BY204" s="167" t="s">
        <v>33</v>
      </c>
      <c r="BZ204" s="167" t="s">
        <v>34</v>
      </c>
      <c r="CA204" s="167" t="s">
        <v>35</v>
      </c>
      <c r="CB204" s="167" t="s">
        <v>36</v>
      </c>
      <c r="CC204" s="167" t="s">
        <v>37</v>
      </c>
    </row>
    <row r="205" spans="67:81" ht="18" customHeight="1" x14ac:dyDescent="0.35">
      <c r="BO205" s="49"/>
      <c r="BP205" s="154"/>
      <c r="BQ205" s="154"/>
      <c r="BR205" s="154"/>
      <c r="BS205" s="154"/>
      <c r="BT205" s="154"/>
      <c r="BU205" s="154"/>
      <c r="BV205" s="154"/>
      <c r="BW205" s="154"/>
      <c r="BX205" s="154"/>
      <c r="BY205" s="154"/>
      <c r="BZ205" s="154"/>
      <c r="CA205" s="154"/>
      <c r="CB205" s="154"/>
      <c r="CC205" s="154"/>
    </row>
    <row r="206" spans="67:81" ht="20.149999999999999" customHeight="1" x14ac:dyDescent="0.35">
      <c r="BO206" s="141" t="s">
        <v>137</v>
      </c>
      <c r="BP206" s="154">
        <v>23.1</v>
      </c>
      <c r="BQ206" s="154">
        <v>14.090999999999999</v>
      </c>
      <c r="BR206" s="154">
        <v>52.503</v>
      </c>
      <c r="BS206" s="154">
        <v>247.95500000000004</v>
      </c>
      <c r="BT206" s="154">
        <v>75.359000000000009</v>
      </c>
      <c r="BU206" s="154">
        <v>35.164999999999999</v>
      </c>
      <c r="BV206" s="154">
        <v>143.20700000000002</v>
      </c>
      <c r="BW206" s="154">
        <v>47.151999999999994</v>
      </c>
      <c r="BX206" s="154">
        <v>29.135999999999996</v>
      </c>
      <c r="BY206" s="154">
        <v>28.055</v>
      </c>
      <c r="BZ206" s="154">
        <v>315.39599999999996</v>
      </c>
      <c r="CA206" s="154">
        <v>487.70800000000003</v>
      </c>
      <c r="CB206" s="154">
        <v>40.744</v>
      </c>
      <c r="CC206" s="154">
        <v>51.59</v>
      </c>
    </row>
    <row r="208" spans="67:81" ht="20.149999999999999" customHeight="1" x14ac:dyDescent="0.35">
      <c r="BO208" s="232" t="s">
        <v>138</v>
      </c>
      <c r="BP208" s="233">
        <v>169.2</v>
      </c>
      <c r="BQ208" s="233">
        <v>105.976</v>
      </c>
      <c r="BR208" s="233">
        <v>165.74199999999996</v>
      </c>
      <c r="BS208" s="233">
        <v>95.514999999999958</v>
      </c>
      <c r="BT208" s="233">
        <v>144.93099999999998</v>
      </c>
      <c r="BU208" s="233">
        <v>55.106999999999999</v>
      </c>
      <c r="BV208" s="233">
        <v>124.327</v>
      </c>
      <c r="BW208" s="233">
        <v>83.202999999999989</v>
      </c>
      <c r="BX208" s="233">
        <v>75.350000000000009</v>
      </c>
      <c r="BY208" s="233">
        <v>27.322000000000003</v>
      </c>
      <c r="BZ208" s="233">
        <v>75.390999999999977</v>
      </c>
      <c r="CA208" s="233">
        <v>36.527000000000001</v>
      </c>
      <c r="CB208" s="233">
        <v>53.082000000000001</v>
      </c>
      <c r="CC208" s="233">
        <v>33.301000000000002</v>
      </c>
    </row>
    <row r="209" spans="67:81" ht="18" customHeight="1" x14ac:dyDescent="0.35">
      <c r="BO209" s="141"/>
      <c r="BP209" s="154"/>
      <c r="BQ209" s="154"/>
      <c r="BR209" s="154"/>
      <c r="BS209" s="154"/>
      <c r="BT209" s="154"/>
      <c r="BU209" s="154"/>
      <c r="BV209" s="154"/>
      <c r="BW209" s="154"/>
      <c r="BX209" s="154"/>
      <c r="BY209" s="154"/>
      <c r="BZ209" s="154"/>
      <c r="CA209" s="154"/>
      <c r="CB209" s="154"/>
      <c r="CC209" s="154"/>
    </row>
    <row r="210" spans="67:81" ht="20.149999999999999" customHeight="1" x14ac:dyDescent="0.35">
      <c r="BO210" s="141" t="s">
        <v>140</v>
      </c>
      <c r="BP210" s="154">
        <v>1364.1</v>
      </c>
      <c r="BQ210" s="154">
        <v>1279.597</v>
      </c>
      <c r="BR210" s="154">
        <v>1476.3430000000001</v>
      </c>
      <c r="BS210" s="154">
        <v>1448.7690000000002</v>
      </c>
      <c r="BT210" s="154">
        <v>1178.9670000000003</v>
      </c>
      <c r="BU210" s="154">
        <v>972.40499999999997</v>
      </c>
      <c r="BV210" s="154">
        <v>1261.7080000000005</v>
      </c>
      <c r="BW210" s="154">
        <v>1179.2069999999999</v>
      </c>
      <c r="BX210" s="154">
        <v>1078.867</v>
      </c>
      <c r="BY210" s="154">
        <v>880.19100000000003</v>
      </c>
      <c r="BZ210" s="154">
        <v>992.97500000000036</v>
      </c>
      <c r="CA210" s="154">
        <v>920.61300000000006</v>
      </c>
      <c r="CB210" s="154">
        <v>792.46199999999999</v>
      </c>
      <c r="CC210" s="154">
        <v>632.23199999999997</v>
      </c>
    </row>
    <row r="211" spans="67:81" ht="18" customHeight="1" x14ac:dyDescent="0.35">
      <c r="BO211" s="141"/>
      <c r="BP211" s="154"/>
      <c r="BQ211" s="154"/>
      <c r="BR211" s="154"/>
      <c r="BS211" s="154"/>
      <c r="BT211" s="154"/>
      <c r="BU211" s="154"/>
      <c r="BV211" s="154"/>
      <c r="BW211" s="154"/>
      <c r="BX211" s="154"/>
      <c r="BY211" s="154"/>
      <c r="BZ211" s="154"/>
      <c r="CA211" s="154"/>
      <c r="CB211" s="154"/>
      <c r="CC211" s="154"/>
    </row>
    <row r="212" spans="67:81" ht="20.149999999999999" customHeight="1" x14ac:dyDescent="0.35">
      <c r="BO212" s="141" t="s">
        <v>141</v>
      </c>
      <c r="BP212" s="154">
        <v>53.2</v>
      </c>
      <c r="BQ212" s="154">
        <v>38.104999999999997</v>
      </c>
      <c r="BR212" s="154">
        <v>64.357000000000028</v>
      </c>
      <c r="BS212" s="154">
        <v>85.449999999999989</v>
      </c>
      <c r="BT212" s="154">
        <v>78.680000000000007</v>
      </c>
      <c r="BU212" s="154">
        <v>85.858000000000004</v>
      </c>
      <c r="BV212" s="154">
        <v>121.58375744999995</v>
      </c>
      <c r="BW212" s="154">
        <v>118.64411437000004</v>
      </c>
      <c r="BX212" s="154">
        <v>80.568222459999973</v>
      </c>
      <c r="BY212" s="154">
        <v>37.636905720000001</v>
      </c>
      <c r="BZ212" s="154">
        <v>94.777000000000015</v>
      </c>
      <c r="CA212" s="154">
        <v>134.56200000000001</v>
      </c>
      <c r="CB212" s="154">
        <v>54.18</v>
      </c>
      <c r="CC212" s="154">
        <v>18.326000000000001</v>
      </c>
    </row>
    <row r="213" spans="67:81" ht="18" customHeight="1" x14ac:dyDescent="0.35">
      <c r="BO213" s="49"/>
      <c r="BP213" s="154"/>
      <c r="BQ213" s="154"/>
      <c r="BR213" s="154"/>
      <c r="BS213" s="154"/>
      <c r="BT213" s="154"/>
      <c r="BU213" s="154"/>
      <c r="BV213" s="154"/>
      <c r="BW213" s="154"/>
      <c r="BX213" s="154"/>
      <c r="BY213" s="154"/>
      <c r="BZ213" s="154"/>
      <c r="CA213" s="154"/>
      <c r="CB213" s="154"/>
      <c r="CC213" s="154"/>
    </row>
    <row r="214" spans="67:81" ht="20.149999999999999" customHeight="1" x14ac:dyDescent="0.35">
      <c r="BO214" s="141" t="s">
        <v>521</v>
      </c>
      <c r="BP214" s="154">
        <v>193.5</v>
      </c>
      <c r="BQ214" s="154">
        <v>33.909999999999997</v>
      </c>
      <c r="BR214" s="154">
        <v>141.23600000000005</v>
      </c>
      <c r="BS214" s="154">
        <v>97.635000000000005</v>
      </c>
      <c r="BT214" s="154">
        <v>67.252999999999986</v>
      </c>
      <c r="BU214" s="154">
        <v>55.225000000000001</v>
      </c>
      <c r="BV214" s="154">
        <v>17.120000000000061</v>
      </c>
      <c r="BW214" s="154">
        <v>171.35599999999994</v>
      </c>
      <c r="BX214" s="154">
        <v>161.05000000000001</v>
      </c>
      <c r="BY214" s="154">
        <v>44.07</v>
      </c>
      <c r="BZ214" s="154">
        <v>16.271000000000001</v>
      </c>
      <c r="CA214" s="154">
        <v>50.478999999999999</v>
      </c>
      <c r="CB214" s="154">
        <v>20.404</v>
      </c>
      <c r="CC214" s="154">
        <v>7.9450000000000003</v>
      </c>
    </row>
    <row r="215" spans="67:81" ht="18" customHeight="1" x14ac:dyDescent="0.35">
      <c r="BO215" s="141"/>
      <c r="BP215" s="154"/>
      <c r="BQ215" s="154"/>
      <c r="BR215" s="154"/>
      <c r="BS215" s="154"/>
      <c r="BT215" s="154"/>
      <c r="BU215" s="154"/>
      <c r="BV215" s="154"/>
      <c r="BW215" s="154"/>
      <c r="BX215" s="154"/>
      <c r="BY215" s="154"/>
      <c r="BZ215" s="154"/>
      <c r="CA215" s="154"/>
      <c r="CB215" s="154"/>
      <c r="CC215" s="154"/>
    </row>
    <row r="216" spans="67:81" ht="20.149999999999999" customHeight="1" x14ac:dyDescent="0.35">
      <c r="BO216" s="141" t="s">
        <v>142</v>
      </c>
      <c r="BP216" s="154">
        <v>1.9</v>
      </c>
      <c r="BQ216" s="154">
        <v>2</v>
      </c>
      <c r="BR216" s="154">
        <v>1.3130000000000002</v>
      </c>
      <c r="BS216" s="154">
        <v>1.232</v>
      </c>
      <c r="BT216" s="154">
        <v>1.1719999999999999</v>
      </c>
      <c r="BU216" s="154">
        <v>0.16900000000000001</v>
      </c>
      <c r="BV216" s="154">
        <v>2.548</v>
      </c>
      <c r="BW216" s="154">
        <v>6.0999999999999943E-2</v>
      </c>
      <c r="BX216" s="154">
        <v>0.14200000000000013</v>
      </c>
      <c r="BY216" s="154">
        <v>1.175</v>
      </c>
      <c r="BZ216" s="154">
        <v>3.4000000000000002E-2</v>
      </c>
      <c r="CA216" s="154">
        <v>0</v>
      </c>
      <c r="CB216" s="154">
        <v>0</v>
      </c>
      <c r="CC216" s="154">
        <v>0</v>
      </c>
    </row>
    <row r="217" spans="67:81" ht="18" customHeight="1" x14ac:dyDescent="0.35">
      <c r="BO217" s="141"/>
      <c r="BP217" s="154"/>
      <c r="BQ217" s="154"/>
      <c r="BR217" s="154"/>
      <c r="BS217" s="154"/>
      <c r="BT217" s="154"/>
      <c r="BU217" s="154"/>
      <c r="BV217" s="154"/>
      <c r="BW217" s="154"/>
      <c r="BX217" s="154"/>
      <c r="BY217" s="154"/>
      <c r="BZ217" s="154"/>
      <c r="CA217" s="154"/>
      <c r="CB217" s="154"/>
      <c r="CC217" s="154"/>
    </row>
    <row r="218" spans="67:81" ht="28" customHeight="1" x14ac:dyDescent="0.35">
      <c r="BO218" s="48" t="s">
        <v>440</v>
      </c>
      <c r="BP218" s="58">
        <f t="shared" ref="BP218:BQ218" si="1">SUM(BP216,BP214,BP212,BP210,BP208,BP206)</f>
        <v>1804.9999999999998</v>
      </c>
      <c r="BQ218" s="58">
        <f t="shared" si="1"/>
        <v>1473.6790000000001</v>
      </c>
      <c r="BR218" s="58">
        <f>SUM(BR216,BR214,BR212,BR210,BR208,BR206)</f>
        <v>1901.4940000000001</v>
      </c>
      <c r="BS218" s="58">
        <f t="shared" ref="BS218:CC218" si="2">SUM(BS216,BS214,BS212,BS210,BS208,BS206)</f>
        <v>1976.556</v>
      </c>
      <c r="BT218" s="58">
        <f t="shared" si="2"/>
        <v>1546.3620000000003</v>
      </c>
      <c r="BU218" s="58">
        <f t="shared" si="2"/>
        <v>1203.9289999999999</v>
      </c>
      <c r="BV218" s="58">
        <f t="shared" si="2"/>
        <v>1670.4937574500007</v>
      </c>
      <c r="BW218" s="58">
        <f t="shared" si="2"/>
        <v>1599.6231143699999</v>
      </c>
      <c r="BX218" s="58">
        <f t="shared" si="2"/>
        <v>1425.1132224599999</v>
      </c>
      <c r="BY218" s="58">
        <f t="shared" si="2"/>
        <v>1018.4499057199999</v>
      </c>
      <c r="BZ218" s="58">
        <f t="shared" si="2"/>
        <v>1494.8440000000005</v>
      </c>
      <c r="CA218" s="58">
        <f t="shared" si="2"/>
        <v>1629.8890000000001</v>
      </c>
      <c r="CB218" s="58">
        <f t="shared" si="2"/>
        <v>960.87200000000007</v>
      </c>
      <c r="CC218" s="58">
        <f t="shared" si="2"/>
        <v>743.39400000000001</v>
      </c>
    </row>
    <row r="910" spans="2:4" ht="18" customHeight="1" x14ac:dyDescent="0.35">
      <c r="B910" s="505"/>
      <c r="C910" s="505"/>
      <c r="D910" s="505"/>
    </row>
    <row r="912" spans="2:4" ht="18" customHeight="1" x14ac:dyDescent="0.35">
      <c r="B912" s="493"/>
      <c r="C912" s="493"/>
    </row>
  </sheetData>
  <mergeCells count="4">
    <mergeCell ref="B4:E4"/>
    <mergeCell ref="B910:D910"/>
    <mergeCell ref="B912:C912"/>
    <mergeCell ref="BO202:CC202"/>
  </mergeCells>
  <phoneticPr fontId="12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5a5651-c003-4491-8bb4-cf333821dd20" xsi:nil="true"/>
    <lcf76f155ced4ddcb4097134ff3c332f xmlns="dd672efd-914e-43b9-8a12-d5de897e3e1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B725659268684A8C3698EDD7A4A760" ma:contentTypeVersion="15" ma:contentTypeDescription="Crie um novo documento." ma:contentTypeScope="" ma:versionID="42f5fe2d5776a9573698420cd22675ef">
  <xsd:schema xmlns:xsd="http://www.w3.org/2001/XMLSchema" xmlns:xs="http://www.w3.org/2001/XMLSchema" xmlns:p="http://schemas.microsoft.com/office/2006/metadata/properties" xmlns:ns2="dd672efd-914e-43b9-8a12-d5de897e3e13" xmlns:ns3="965a5651-c003-4491-8bb4-cf333821dd20" targetNamespace="http://schemas.microsoft.com/office/2006/metadata/properties" ma:root="true" ma:fieldsID="848156c38f40100fb0dc6b76ec21ab24" ns2:_="" ns3:_="">
    <xsd:import namespace="dd672efd-914e-43b9-8a12-d5de897e3e13"/>
    <xsd:import namespace="965a5651-c003-4491-8bb4-cf333821d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2efd-914e-43b9-8a12-d5de897e3e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ba655b3-91bc-415c-bde2-f58ae48cbc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a5651-c003-4491-8bb4-cf333821dd2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1043a09-3a06-4711-81f7-8c54c6ac56d6}" ma:internalName="TaxCatchAll" ma:showField="CatchAllData" ma:web="965a5651-c003-4491-8bb4-cf333821dd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E A A B Q S w M E F A A C A A g A 5 U y 0 X J e b 8 Q K l A A A A 9 g A A A B I A H A B D b 2 5 m a W c v U G F j a 2 F n Z S 5 4 b W w g o h g A K K A U A A A A A A A A A A A A A A A A A A A A A A A A A A A A h Y 9 B D o I w F E S v Q r q n L S U a Q z 4 l 0 a 0 k R h P j t q k V G q E Q W i x 3 c + G R v I I Y R d 2 5 n D d v M X O / 3 i A b 6 i q 4 q M 7 q x q Q o w h Q F y s j m q E 2 R o t 6 d w g X K O G y E P I t C B a N s b D L Y Y 4 p K 5 9 q E E O 8 9 9 j F u u o I w S i N y y N c 7 W a p a o I + s / 8 u h N t Y J I x X i s H + N 4 Q x H s x g z N s c U y A Q h 1 + Y r s H H v s / 2 B s O o r 1 3 e K t y 5 c b o F M E c j 7 A 3 8 A U E s D B B Q A A g A I A O V M t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T L R c g j k p X Q 4 B A A B R A g A A E w A c A E Z v c m 1 1 b G F z L 1 N l Y 3 R p b 2 4 x L m 0 g o h g A K K A U A A A A A A A A A A A A A A A A A A A A A A A A A A A A f Z B B S 8 N A E I X v g f y H Z f W Q Q A i m i p f S Q w g K g n j Q o I d S Z N O M N X S z E 2 a 3 0 B L y 3 9 1 N K N Y 0 d i 8 L 7 8 2 b b 3 g a 1 q Z C x d 6 G P 5 n 7 n u / p b 0 F Q s l K U q D + L h i 2 Y B O N 7 z L 5 H V A a s 8 L B f g 4 y z H R E o 8 4 G 0 L R C 3 Q d g u X 0 Q N C 3 6 M 8 l W 3 z F x E m V U 0 b L j i e d U g S 6 U B s l P c L s t F I S H O S S j 9 h V R n K H e 1 y g 8 N 6 K D n R W 3 L U 4 U 8 Y k / K 3 N / F z u o i 1 v K c q h q 0 I Z h d 8 K x l r M g M 7 E 3 v p B u C j U O P j S S + m d C S C W 0 2 o d 2 e a e 9 C I r H g 9 T o 8 W k I d u i 7 8 b c J O I n u u 6 u b / H n Q w b s z V M e B c P s 4 k C H W K P g O k j b h Y d Y 8 4 O W U E c E 3 + 3 e 9 7 l Z p G z H 8 A U E s B A i 0 A F A A C A A g A 5 U y 0 X J e b 8 Q K l A A A A 9 g A A A B I A A A A A A A A A A A A A A A A A A A A A A E N v b m Z p Z y 9 Q Y W N r Y W d l L n h t b F B L A Q I t A B Q A A g A I A O V M t F w P y u m r p A A A A O k A A A A T A A A A A A A A A A A A A A A A A P E A A A B b Q 2 9 u d G V u d F 9 U e X B l c 1 0 u e G 1 s U E s B A i 0 A F A A C A A g A 5 U y 0 X I I 5 K V 0 O A Q A A U Q I A A B M A A A A A A A A A A A A A A A A A 4 g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g 0 A A A A A A A B 0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Z G 9 z X 2 J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2 J l N j U x O W M t Y 2 E 0 O C 0 0 M j J h L W I 3 N z c t Z D g w N 2 U 5 Z G Y w Z j U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4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x O F Q x O T o 0 O T o 0 N S 4 y O D c 2 M z A 0 W i I g L z 4 8 R W 5 0 c n k g V H l w Z T 0 i R m l s b E N v b H V t b l R 5 c G V z I i B W Y W x 1 Z T 0 i c 0 F 3 T U d C Z 1 l H Q m d Z Q S I g L z 4 8 R W 5 0 c n k g V H l w Z T 0 i R m l s b E N v b H V t b k 5 h b W V z I i B W Y W x 1 Z T 0 i c 1 s m c X V v d D t B b m 8 m c X V v d D s s J n F 1 b 3 Q 7 V H J p b W V z d H J l M i Z x d W 9 0 O y w m c X V v d D t U c m l t Z X N 0 c m U m c X V v d D s s J n F 1 b 3 Q 7 Q W d y Z W d h Z G 8 m c X V v d D s s J n F 1 b 3 Q 7 M S 4 w J n F 1 b 3 Q 7 L C Z x d W 9 0 O z E u M S Z x d W 9 0 O y w m c X V v d D s x L j I m c X V v d D s s J n F 1 b 3 Q 7 M S 4 z J n F 1 b 3 Q 7 L C Z x d W 9 0 O 1 Z h b G 9 y I C h S J C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W R v c 1 9 i c C 9 B d X R v U m V t b 3 Z l Z E N v b H V t b n M x L n t B b m 8 s M H 0 m c X V v d D s s J n F 1 b 3 Q 7 U 2 V j d G l v b j E v Z G F k b 3 N f Y n A v Q X V 0 b 1 J l b W 9 2 Z W R D b 2 x 1 b W 5 z M S 5 7 V H J p b W V z d H J l M i w x f S Z x d W 9 0 O y w m c X V v d D t T Z W N 0 a W 9 u M S 9 k Y W R v c 1 9 i c C 9 B d X R v U m V t b 3 Z l Z E N v b H V t b n M x L n t U c m l t Z X N 0 c m U s M n 0 m c X V v d D s s J n F 1 b 3 Q 7 U 2 V j d G l v b j E v Z G F k b 3 N f Y n A v Q X V 0 b 1 J l b W 9 2 Z W R D b 2 x 1 b W 5 z M S 5 7 Q W d y Z W d h Z G 8 s M 3 0 m c X V v d D s s J n F 1 b 3 Q 7 U 2 V j d G l v b j E v Z G F k b 3 N f Y n A v Q X V 0 b 1 J l b W 9 2 Z W R D b 2 x 1 b W 5 z M S 5 7 M S 4 w L D R 9 J n F 1 b 3 Q 7 L C Z x d W 9 0 O 1 N l Y 3 R p b 2 4 x L 2 R h Z G 9 z X 2 J w L 0 F 1 d G 9 S Z W 1 v d m V k Q 2 9 s d W 1 u c z E u e z E u M S w 1 f S Z x d W 9 0 O y w m c X V v d D t T Z W N 0 a W 9 u M S 9 k Y W R v c 1 9 i c C 9 B d X R v U m V t b 3 Z l Z E N v b H V t b n M x L n s x L j I s N n 0 m c X V v d D s s J n F 1 b 3 Q 7 U 2 V j d G l v b j E v Z G F k b 3 N f Y n A v Q X V 0 b 1 J l b W 9 2 Z W R D b 2 x 1 b W 5 z M S 5 7 M S 4 z L D d 9 J n F 1 b 3 Q 7 L C Z x d W 9 0 O 1 N l Y 3 R p b 2 4 x L 2 R h Z G 9 z X 2 J w L 0 F 1 d G 9 S Z W 1 v d m V k Q 2 9 s d W 1 u c z E u e 1 Z h b G 9 y I C h S J C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G F k b 3 N f Y n A v Q X V 0 b 1 J l b W 9 2 Z W R D b 2 x 1 b W 5 z M S 5 7 Q W 5 v L D B 9 J n F 1 b 3 Q 7 L C Z x d W 9 0 O 1 N l Y 3 R p b 2 4 x L 2 R h Z G 9 z X 2 J w L 0 F 1 d G 9 S Z W 1 v d m V k Q 2 9 s d W 1 u c z E u e 1 R y a W 1 l c 3 R y Z T I s M X 0 m c X V v d D s s J n F 1 b 3 Q 7 U 2 V j d G l v b j E v Z G F k b 3 N f Y n A v Q X V 0 b 1 J l b W 9 2 Z W R D b 2 x 1 b W 5 z M S 5 7 V H J p b W V z d H J l L D J 9 J n F 1 b 3 Q 7 L C Z x d W 9 0 O 1 N l Y 3 R p b 2 4 x L 2 R h Z G 9 z X 2 J w L 0 F 1 d G 9 S Z W 1 v d m V k Q 2 9 s d W 1 u c z E u e 0 F n c m V n Y W R v L D N 9 J n F 1 b 3 Q 7 L C Z x d W 9 0 O 1 N l Y 3 R p b 2 4 x L 2 R h Z G 9 z X 2 J w L 0 F 1 d G 9 S Z W 1 v d m V k Q 2 9 s d W 1 u c z E u e z E u M C w 0 f S Z x d W 9 0 O y w m c X V v d D t T Z W N 0 a W 9 u M S 9 k Y W R v c 1 9 i c C 9 B d X R v U m V t b 3 Z l Z E N v b H V t b n M x L n s x L j E s N X 0 m c X V v d D s s J n F 1 b 3 Q 7 U 2 V j d G l v b j E v Z G F k b 3 N f Y n A v Q X V 0 b 1 J l b W 9 2 Z W R D b 2 x 1 b W 5 z M S 5 7 M S 4 y L D Z 9 J n F 1 b 3 Q 7 L C Z x d W 9 0 O 1 N l Y 3 R p b 2 4 x L 2 R h Z G 9 z X 2 J w L 0 F 1 d G 9 S Z W 1 v d m V k Q 2 9 s d W 1 u c z E u e z E u M y w 3 f S Z x d W 9 0 O y w m c X V v d D t T Z W N 0 a W 9 u M S 9 k Y W R v c 1 9 i c C 9 B d X R v U m V t b 3 Z l Z E N v b H V t b n M x L n t W Y W x v c i A o U i Q p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W R v c 1 9 i c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Z G 9 z X 2 J w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Z G 9 z X 2 J w L 1 R l e H R v J T I w T G l t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W R v c 1 9 i c C 9 U Z X h 0 b y U y M E F w Y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4 l d D h o h G 0 y F d H Z 7 8 G Y i 4 g A A A A A C A A A A A A A Q Z g A A A A E A A C A A A A C I q v J S j h N 0 w W G q j K P 8 Q p B W 7 l t K y K r t f L M F e M v L V v Y O n A A A A A A O g A A A A A I A A C A A A A D A f N e A e P W c p 7 g p g G 6 g t H V S l F D j 4 1 l k b S O R v O x I Z 7 R p c F A A A A D 0 k k q Z o T r 4 v m M T 8 C N 2 U q s e 5 H 9 g 5 c m g h L H L B B m o t v Q X I Q Q 6 t J N u 5 p + / 8 9 U t g 0 D 4 F B z b + o 1 V u 3 M b 1 c B l G r K D Q i J A 9 9 s V J u L o B u D 9 n l 4 0 W r p J Z 0 A A A A D f T G F u U 5 K 3 M P C 8 E v r g G Z J L Z c s z e s N W + 5 2 N Q J O 3 G E J 5 x p u U t A B a P f G T Z O B H 3 u m O U M K U 5 L G 1 1 F c p / 5 C o D 6 H 3 Y l n S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C7E568-418B-477F-A542-A3D62E952D8F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d672efd-914e-43b9-8a12-d5de897e3e13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965a5651-c003-4491-8bb4-cf333821dd2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24E3E4D-99DA-4D3A-AD73-AD8A6C5D79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72efd-914e-43b9-8a12-d5de897e3e13"/>
    <ds:schemaRef ds:uri="965a5651-c003-4491-8bb4-cf333821dd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DF28DB-08C4-4C75-A3BB-7F0C2486AE7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EAF2AD7-7310-4AFC-87B9-F10CA69323F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58201a-9c91-4077-8c8c-35afb0b2b6e2}" enabled="1" method="Privileged" siteId="{97ce2340-9c1d-45b1-a835-7ea811b6fe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MENU</vt:lpstr>
      <vt:lpstr>DRE</vt:lpstr>
      <vt:lpstr>EBITDA</vt:lpstr>
      <vt:lpstr>Resultado financeiro</vt:lpstr>
      <vt:lpstr>DRE por segmento</vt:lpstr>
      <vt:lpstr>BP</vt:lpstr>
      <vt:lpstr>DFC</vt:lpstr>
      <vt:lpstr>Endividamento</vt:lpstr>
      <vt:lpstr>Investimentos</vt:lpstr>
      <vt:lpstr>Usinas</vt:lpstr>
      <vt:lpstr>Balanço de Energia</vt:lpstr>
      <vt:lpstr>Vendas por classe</vt:lpstr>
      <vt:lpstr>Energia comprada para revenda</vt:lpstr>
      <vt:lpstr>RAP</vt:lpstr>
      <vt:lpstr>CEMIG D</vt:lpstr>
      <vt:lpstr>Indicadores CEMIG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JOAO AUGUSTO BASTISTA LEITE ROCHA</dc:creator>
  <cp:keywords/>
  <dc:description/>
  <cp:lastModifiedBy>JOAO AUGUSTO BASTISTA LEITE ROCHA</cp:lastModifiedBy>
  <cp:revision/>
  <dcterms:created xsi:type="dcterms:W3CDTF">2020-11-04T13:02:04Z</dcterms:created>
  <dcterms:modified xsi:type="dcterms:W3CDTF">2026-08-18T20:00:25Z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1469899907</vt:lpwstr>
  </property>
  <property fmtid="{D5CDD505-2E9C-101B-9397-08002B2CF9AE}" pid="3" name="EcoUpdateMessage">
    <vt:lpwstr>2026/07/30-17:31:47</vt:lpwstr>
  </property>
  <property fmtid="{D5CDD505-2E9C-101B-9397-08002B2CF9AE}" pid="4" name="EcoUpdateStatus">
    <vt:lpwstr>2026-07-29=BRA:St,ME,Fd,TP;USA:St,ME,TP;ARG:St,ME,Fd,TP;MEX:St,Fd,TP;CHL:St,ME,Fd;GBR:St,ME;COL:St,ME;SAU:St|2026-07-30=MEX:ME|2021-11-17=CHL:TP|2014-02-26=VEN:St|2002-11-08=JPN:St|2016-08-18=NNN:St|2026-04-07=COL:Fd|2026-07-27=PER:St,ME,Fd|2026-04-15=PER:TP|2007-01-31=ESP:St|2003-01-29=CHN:St|2003-01-28=TWN:St|2003-01-30=HKG:St;KOR:St|2023-01-19=OTH:St|2025-06-24=PAN:St|2024-06-24=SAU:ME</vt:lpwstr>
  </property>
  <property fmtid="{D5CDD505-2E9C-101B-9397-08002B2CF9AE}" pid="5" name="ContentTypeId">
    <vt:lpwstr>0x010100F4B725659268684A8C3698EDD7A4A760</vt:lpwstr>
  </property>
  <property fmtid="{D5CDD505-2E9C-101B-9397-08002B2CF9AE}" pid="6" name="MediaServiceImageTags">
    <vt:lpwstr/>
  </property>
</Properties>
</file>