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EstaPastaDeTrabalho"/>
  <mc:AlternateContent xmlns:mc="http://schemas.openxmlformats.org/markup-compatibility/2006">
    <mc:Choice Requires="x15">
      <x15ac:absPath xmlns:x15ac="http://schemas.microsoft.com/office/spreadsheetml/2010/11/ac" url="I:\SA\RI\RI_DADOS\1_Informacoes_Tecnicas_e_Financeiras\1. Resultados\2024\2T24\Planilhas interativas\"/>
    </mc:Choice>
  </mc:AlternateContent>
  <xr:revisionPtr revIDLastSave="0" documentId="13_ncr:1_{152A7160-7F10-4AC2-ACF3-96AB0CDDA3C4}" xr6:coauthVersionLast="47" xr6:coauthVersionMax="47" xr10:uidLastSave="{00000000-0000-0000-0000-000000000000}"/>
  <bookViews>
    <workbookView xWindow="20370" yWindow="-120" windowWidth="19440" windowHeight="14880" firstSheet="13" activeTab="17" xr2:uid="{51841221-1895-4942-A8A1-AA54E6308B65}"/>
  </bookViews>
  <sheets>
    <sheet name="Cemig (Sumário)" sheetId="1" r:id="rId1"/>
    <sheet name="RAP" sheetId="3" r:id="rId2"/>
    <sheet name="Usinas" sheetId="4" r:id="rId3"/>
    <sheet name="Balanço de Energia" sheetId="5" r:id="rId4"/>
    <sheet name="Venda de energia por classe" sheetId="6" r:id="rId5"/>
    <sheet name="Perdas de Energia" sheetId="7" r:id="rId6"/>
    <sheet name="DEC _ FEC" sheetId="8" r:id="rId7"/>
    <sheet name="Taxa de arrecadação" sheetId="20" r:id="rId8"/>
    <sheet name="Receita" sheetId="9" r:id="rId9"/>
    <sheet name="Custos e Despesas" sheetId="10" r:id="rId10"/>
    <sheet name="Energia comprada para revenda" sheetId="19" r:id="rId11"/>
    <sheet name="Resultado Financeiro" sheetId="12" r:id="rId12"/>
    <sheet name="Endividamento" sheetId="13" r:id="rId13"/>
    <sheet name="Investimentos" sheetId="14" r:id="rId14"/>
    <sheet name="BP (Ativo)" sheetId="15" r:id="rId15"/>
    <sheet name="BP (Passivo)" sheetId="16" r:id="rId16"/>
    <sheet name="LAJIDA" sheetId="11" r:id="rId17"/>
    <sheet name="DRE" sheetId="17" r:id="rId18"/>
    <sheet name="DFC" sheetId="18" r:id="rId19"/>
    <sheet name="Desempenhos das ações" sheetId="22" r:id="rId20"/>
  </sheets>
  <externalReferences>
    <externalReference r:id="rId21"/>
  </externalReferences>
  <definedNames>
    <definedName name="_xlnm._FilterDatabase" localSheetId="3" hidden="1">'Balanço de Energia'!$I$13:$J$29</definedName>
    <definedName name="_xlnm._FilterDatabase" localSheetId="14" hidden="1">'BP (Ativo)'!$B$10:$B$49</definedName>
    <definedName name="_xlnm._FilterDatabase" localSheetId="15" hidden="1">'BP (Passivo)'!$B$10:$B$57</definedName>
    <definedName name="_xlnm._FilterDatabase" localSheetId="18" hidden="1">DFC!$A$8:$A$102</definedName>
    <definedName name="_xlnm._FilterDatabase" localSheetId="2" hidden="1">Usinas!$B$10:$H$38</definedName>
    <definedName name="_Hlk160453777" localSheetId="9">'Custos e Despesas'!$B$16</definedName>
    <definedName name="_Toc223922453" localSheetId="10">'Energia comprada para revenda'!$B$7</definedName>
    <definedName name="_Toc229977613" localSheetId="19">'Desempenhos das ações'!#REF!</definedName>
    <definedName name="_Toc229977613" localSheetId="18">DFC!$B$7</definedName>
    <definedName name="_Toc282006926" localSheetId="15">'BP (Passivo)'!$B$8</definedName>
    <definedName name="_Toc282006927" localSheetId="15">'BP (Passivo)'!$B$9</definedName>
    <definedName name="_Toc288721758" localSheetId="9">'Custos e Despesas'!#REF!</definedName>
    <definedName name="_Toc288721760" localSheetId="9">'Custos e Despesas'!#REF!</definedName>
    <definedName name="_xlcn.WorksheetConnection_teste_atualizado1.xlsmTabela290620161" hidden="1">[1]!Tabela30102017[#Data]</definedName>
    <definedName name="_xlcn.WorksheetConnection_teste_atualizado1.xlsxTabela11" hidden="1">[1]!Tabela1[#Data]</definedName>
    <definedName name="Tabela20042017">[1]!Tabela301011121314[#Data]</definedName>
    <definedName name="Tabela29062016">[1]!Tabela301011121314[#Data]</definedName>
    <definedName name="Tabela31032017">[1]!Tabela301011121314[#Data]</definedName>
    <definedName name="Timeline_Operação_Comercial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94" i="4" l="1"/>
  <c r="E16" i="3" l="1"/>
  <c r="C83" i="13"/>
  <c r="C82" i="13"/>
  <c r="C81" i="13" l="1"/>
  <c r="C72" i="13"/>
  <c r="C71" i="13"/>
  <c r="C70" i="13"/>
  <c r="C68" i="13"/>
  <c r="I21" i="6"/>
  <c r="E26" i="6"/>
  <c r="H26" i="6"/>
  <c r="H24" i="6"/>
  <c r="H20" i="6"/>
  <c r="H23" i="6" s="1"/>
  <c r="H19" i="6"/>
  <c r="H18" i="6"/>
  <c r="H17" i="6"/>
  <c r="H16" i="6"/>
  <c r="H15" i="6"/>
  <c r="H14" i="6"/>
  <c r="H13" i="6"/>
  <c r="C23" i="5"/>
  <c r="C14" i="5"/>
  <c r="E64" i="4" l="1"/>
  <c r="D64" i="4"/>
  <c r="D35" i="4"/>
  <c r="D38" i="4" s="1"/>
  <c r="E65" i="4" l="1"/>
  <c r="D65" i="4"/>
  <c r="E17" i="3"/>
  <c r="D17" i="3"/>
  <c r="C17" i="3"/>
  <c r="F17" i="3"/>
  <c r="F18" i="3"/>
  <c r="C105" i="18"/>
  <c r="D105" i="18"/>
  <c r="F105" i="18"/>
  <c r="G105" i="18"/>
  <c r="H105" i="18"/>
  <c r="C106" i="18"/>
  <c r="D106" i="18"/>
  <c r="E106" i="18"/>
  <c r="F106" i="18"/>
  <c r="G106" i="18"/>
  <c r="H106" i="18"/>
  <c r="C107" i="18"/>
  <c r="D107" i="18"/>
  <c r="E107" i="18"/>
  <c r="F107" i="18"/>
  <c r="G107" i="18"/>
  <c r="H107" i="18"/>
  <c r="C108" i="18"/>
  <c r="D108" i="18"/>
  <c r="E108" i="18"/>
  <c r="F108" i="18"/>
  <c r="G108" i="18"/>
  <c r="H108" i="18"/>
  <c r="C109" i="18"/>
  <c r="D109" i="18"/>
  <c r="E109" i="18"/>
  <c r="H109" i="18"/>
  <c r="C110" i="18"/>
  <c r="D110" i="18"/>
  <c r="H110" i="18"/>
  <c r="C111" i="18"/>
  <c r="D111" i="18"/>
  <c r="H111" i="18"/>
  <c r="C112" i="18"/>
  <c r="D112" i="18"/>
  <c r="H112" i="18"/>
  <c r="C113" i="18"/>
  <c r="D113" i="18"/>
  <c r="E113" i="18"/>
  <c r="F113" i="18"/>
  <c r="G113" i="18"/>
  <c r="H113" i="18"/>
  <c r="C114" i="18"/>
  <c r="D114" i="18"/>
  <c r="E114" i="18"/>
  <c r="F114" i="18"/>
  <c r="G114" i="18"/>
  <c r="H114" i="18"/>
  <c r="C115" i="18"/>
  <c r="D115" i="18"/>
  <c r="E115" i="18"/>
  <c r="F115" i="18"/>
  <c r="G115" i="18"/>
  <c r="H115" i="18"/>
  <c r="C116" i="18"/>
  <c r="D116" i="18"/>
  <c r="E116" i="18"/>
  <c r="F116" i="18"/>
  <c r="G116" i="18"/>
  <c r="H116" i="18"/>
  <c r="C117" i="18"/>
  <c r="D117" i="18"/>
  <c r="F117" i="18"/>
  <c r="G117" i="18"/>
  <c r="H117" i="18"/>
  <c r="D30" i="10" l="1"/>
  <c r="C30" i="10"/>
  <c r="G58" i="17"/>
  <c r="F44" i="12"/>
  <c r="F26" i="12"/>
  <c r="F21" i="19"/>
  <c r="F30" i="10"/>
  <c r="F35" i="9"/>
  <c r="O26" i="6"/>
  <c r="O24" i="6"/>
  <c r="O20" i="6"/>
  <c r="O23" i="6" s="1"/>
  <c r="O19" i="6"/>
  <c r="O18" i="6"/>
  <c r="O17" i="6"/>
  <c r="O16" i="6"/>
  <c r="O15" i="6"/>
  <c r="O14" i="6"/>
  <c r="O13" i="6"/>
  <c r="E27" i="18"/>
  <c r="E105" i="18" s="1"/>
  <c r="E80" i="18"/>
  <c r="E111" i="18" s="1"/>
  <c r="F45" i="12" l="1"/>
  <c r="D54" i="16"/>
  <c r="D56" i="16" s="1"/>
  <c r="D45" i="16"/>
  <c r="D29" i="16"/>
  <c r="D31" i="16" s="1"/>
  <c r="D46" i="16" s="1"/>
  <c r="D48" i="15"/>
  <c r="D28" i="15"/>
  <c r="D49" i="15" l="1"/>
  <c r="D57" i="16"/>
  <c r="C80" i="13"/>
  <c r="C21" i="19"/>
  <c r="G30" i="10"/>
  <c r="C85" i="13" l="1"/>
  <c r="E35" i="4" l="1"/>
  <c r="E38" i="4" s="1"/>
  <c r="E92" i="18" l="1"/>
  <c r="E112" i="18" s="1"/>
  <c r="I74" i="17" l="1"/>
  <c r="I73" i="17"/>
  <c r="I70" i="17"/>
  <c r="I69" i="17"/>
  <c r="I68" i="17"/>
  <c r="I67" i="17"/>
  <c r="I66" i="17"/>
  <c r="I65" i="17"/>
  <c r="Z74" i="17"/>
  <c r="Y74" i="17"/>
  <c r="X74" i="17"/>
  <c r="W74" i="17"/>
  <c r="V74" i="17"/>
  <c r="U74" i="17"/>
  <c r="T74" i="17"/>
  <c r="S74" i="17"/>
  <c r="R74" i="17"/>
  <c r="Q74" i="17"/>
  <c r="P74" i="17"/>
  <c r="O74" i="17"/>
  <c r="N74" i="17"/>
  <c r="M74" i="17"/>
  <c r="L74" i="17"/>
  <c r="K74" i="17"/>
  <c r="Z73" i="17"/>
  <c r="Y73" i="17"/>
  <c r="X73" i="17"/>
  <c r="W73" i="17"/>
  <c r="V73" i="17"/>
  <c r="U73" i="17"/>
  <c r="T73" i="17"/>
  <c r="S73" i="17"/>
  <c r="R73" i="17"/>
  <c r="Q73" i="17"/>
  <c r="P73" i="17"/>
  <c r="O73" i="17"/>
  <c r="N73" i="17"/>
  <c r="M73" i="17"/>
  <c r="L73" i="17"/>
  <c r="K73" i="17"/>
  <c r="Z72" i="17"/>
  <c r="Y72" i="17"/>
  <c r="X72" i="17"/>
  <c r="W72" i="17"/>
  <c r="V72" i="17"/>
  <c r="U72" i="17"/>
  <c r="T72" i="17"/>
  <c r="S72" i="17"/>
  <c r="R72" i="17"/>
  <c r="Q72" i="17"/>
  <c r="P72" i="17"/>
  <c r="O72" i="17"/>
  <c r="N72" i="17"/>
  <c r="M72" i="17"/>
  <c r="L72" i="17"/>
  <c r="K72" i="17"/>
  <c r="Z71" i="17"/>
  <c r="Y71" i="17"/>
  <c r="X71" i="17"/>
  <c r="W71" i="17"/>
  <c r="V71" i="17"/>
  <c r="U71" i="17"/>
  <c r="T71" i="17"/>
  <c r="S71" i="17"/>
  <c r="R71" i="17"/>
  <c r="Q71" i="17"/>
  <c r="P71" i="17"/>
  <c r="O71" i="17"/>
  <c r="N71" i="17"/>
  <c r="M71" i="17"/>
  <c r="L71" i="17"/>
  <c r="K71" i="17"/>
  <c r="Z70" i="17"/>
  <c r="Y70" i="17"/>
  <c r="X70" i="17"/>
  <c r="W70" i="17"/>
  <c r="V70" i="17"/>
  <c r="U70" i="17"/>
  <c r="T70" i="17"/>
  <c r="S70" i="17"/>
  <c r="R70" i="17"/>
  <c r="Q70" i="17"/>
  <c r="P70" i="17"/>
  <c r="O70" i="17"/>
  <c r="N70" i="17"/>
  <c r="M70" i="17"/>
  <c r="L70" i="17"/>
  <c r="K70" i="17"/>
  <c r="Z69" i="17"/>
  <c r="Y69" i="17"/>
  <c r="X69" i="17"/>
  <c r="W69" i="17"/>
  <c r="V69" i="17"/>
  <c r="U69" i="17"/>
  <c r="T69" i="17"/>
  <c r="S69" i="17"/>
  <c r="R69" i="17"/>
  <c r="Q69" i="17"/>
  <c r="P69" i="17"/>
  <c r="O69" i="17"/>
  <c r="N69" i="17"/>
  <c r="M69" i="17"/>
  <c r="L69" i="17"/>
  <c r="K69" i="17"/>
  <c r="Z68" i="17"/>
  <c r="Y68" i="17"/>
  <c r="X68" i="17"/>
  <c r="W68" i="17"/>
  <c r="V68" i="17"/>
  <c r="U68" i="17"/>
  <c r="T68" i="17"/>
  <c r="S68" i="17"/>
  <c r="R68" i="17"/>
  <c r="Q68" i="17"/>
  <c r="P68" i="17"/>
  <c r="O68" i="17"/>
  <c r="N68" i="17"/>
  <c r="M68" i="17"/>
  <c r="L68" i="17"/>
  <c r="K68" i="17"/>
  <c r="Z67" i="17"/>
  <c r="Y67" i="17"/>
  <c r="X67" i="17"/>
  <c r="W67" i="17"/>
  <c r="V67" i="17"/>
  <c r="U67" i="17"/>
  <c r="T67" i="17"/>
  <c r="S67" i="17"/>
  <c r="R67" i="17"/>
  <c r="Q67" i="17"/>
  <c r="P67" i="17"/>
  <c r="O67" i="17"/>
  <c r="N67" i="17"/>
  <c r="M67" i="17"/>
  <c r="L67" i="17"/>
  <c r="K67" i="17"/>
  <c r="Z66" i="17"/>
  <c r="Y66" i="17"/>
  <c r="X66" i="17"/>
  <c r="W66" i="17"/>
  <c r="V66" i="17"/>
  <c r="U66" i="17"/>
  <c r="T66" i="17"/>
  <c r="S66" i="17"/>
  <c r="R66" i="17"/>
  <c r="Q66" i="17"/>
  <c r="P66" i="17"/>
  <c r="O66" i="17"/>
  <c r="N66" i="17"/>
  <c r="M66" i="17"/>
  <c r="L66" i="17"/>
  <c r="K66" i="17"/>
  <c r="Z65" i="17"/>
  <c r="Y65" i="17"/>
  <c r="X65" i="17"/>
  <c r="W65" i="17"/>
  <c r="V65" i="17"/>
  <c r="U65" i="17"/>
  <c r="T65" i="17"/>
  <c r="S65" i="17"/>
  <c r="R65" i="17"/>
  <c r="Q65" i="17"/>
  <c r="P65" i="17"/>
  <c r="O65" i="17"/>
  <c r="N65" i="17"/>
  <c r="M65" i="17"/>
  <c r="L65" i="17"/>
  <c r="K65" i="17"/>
  <c r="J74" i="17"/>
  <c r="J73" i="17"/>
  <c r="J72" i="17"/>
  <c r="J71" i="17"/>
  <c r="J70" i="17"/>
  <c r="J69" i="17"/>
  <c r="J68" i="17"/>
  <c r="J67" i="17"/>
  <c r="J66" i="17"/>
  <c r="J65" i="17"/>
  <c r="I105" i="18"/>
  <c r="J105" i="18"/>
  <c r="K105" i="18"/>
  <c r="L105" i="18"/>
  <c r="M105" i="18"/>
  <c r="N105" i="18"/>
  <c r="O105" i="18"/>
  <c r="P105" i="18"/>
  <c r="Q105" i="18"/>
  <c r="R105" i="18"/>
  <c r="S105" i="18"/>
  <c r="T105" i="18"/>
  <c r="U105" i="18"/>
  <c r="V105" i="18"/>
  <c r="W105" i="18"/>
  <c r="X105" i="18"/>
  <c r="I106" i="18"/>
  <c r="J106" i="18"/>
  <c r="K106" i="18"/>
  <c r="L106" i="18"/>
  <c r="M106" i="18"/>
  <c r="N106" i="18"/>
  <c r="O106" i="18"/>
  <c r="P106" i="18"/>
  <c r="Q106" i="18"/>
  <c r="R106" i="18"/>
  <c r="S106" i="18"/>
  <c r="T106" i="18"/>
  <c r="U106" i="18"/>
  <c r="V106" i="18"/>
  <c r="W106" i="18"/>
  <c r="X106" i="18"/>
  <c r="I107" i="18"/>
  <c r="J107" i="18"/>
  <c r="K107" i="18"/>
  <c r="L107" i="18"/>
  <c r="M107" i="18"/>
  <c r="N107" i="18"/>
  <c r="O107" i="18"/>
  <c r="P107" i="18"/>
  <c r="Q107" i="18"/>
  <c r="R107" i="18"/>
  <c r="S107" i="18"/>
  <c r="T107" i="18"/>
  <c r="U107" i="18"/>
  <c r="V107" i="18"/>
  <c r="W107" i="18"/>
  <c r="X107" i="18"/>
  <c r="I108" i="18"/>
  <c r="J108" i="18"/>
  <c r="K108" i="18"/>
  <c r="L108" i="18"/>
  <c r="M108" i="18"/>
  <c r="N108" i="18"/>
  <c r="O108" i="18"/>
  <c r="P108" i="18"/>
  <c r="Q108" i="18"/>
  <c r="R108" i="18"/>
  <c r="S108" i="18"/>
  <c r="T108" i="18"/>
  <c r="U108" i="18"/>
  <c r="V108" i="18"/>
  <c r="W108" i="18"/>
  <c r="X108" i="18"/>
  <c r="I111" i="18"/>
  <c r="I113" i="18"/>
  <c r="J113" i="18"/>
  <c r="K113" i="18"/>
  <c r="L113" i="18"/>
  <c r="M113" i="18"/>
  <c r="N113" i="18"/>
  <c r="O113" i="18"/>
  <c r="P113" i="18"/>
  <c r="Q113" i="18"/>
  <c r="R113" i="18"/>
  <c r="S113" i="18"/>
  <c r="T113" i="18"/>
  <c r="U113" i="18"/>
  <c r="V113" i="18"/>
  <c r="W113" i="18"/>
  <c r="X113" i="18"/>
  <c r="I114" i="18"/>
  <c r="J114" i="18"/>
  <c r="K114" i="18"/>
  <c r="L114" i="18"/>
  <c r="M114" i="18"/>
  <c r="N114" i="18"/>
  <c r="O114" i="18"/>
  <c r="P114" i="18"/>
  <c r="Q114" i="18"/>
  <c r="R114" i="18"/>
  <c r="S114" i="18"/>
  <c r="T114" i="18"/>
  <c r="U114" i="18"/>
  <c r="V114" i="18"/>
  <c r="W114" i="18"/>
  <c r="X114" i="18"/>
  <c r="I115" i="18"/>
  <c r="J115" i="18"/>
  <c r="K115" i="18"/>
  <c r="L115" i="18"/>
  <c r="M115" i="18"/>
  <c r="N115" i="18"/>
  <c r="O115" i="18"/>
  <c r="P115" i="18"/>
  <c r="Q115" i="18"/>
  <c r="R115" i="18"/>
  <c r="S115" i="18"/>
  <c r="T115" i="18"/>
  <c r="U115" i="18"/>
  <c r="V115" i="18"/>
  <c r="W115" i="18"/>
  <c r="X115" i="18"/>
  <c r="I116" i="18"/>
  <c r="J116" i="18"/>
  <c r="K116" i="18"/>
  <c r="L116" i="18"/>
  <c r="M116" i="18"/>
  <c r="N116" i="18"/>
  <c r="O116" i="18"/>
  <c r="P116" i="18"/>
  <c r="Q116" i="18"/>
  <c r="R116" i="18"/>
  <c r="S116" i="18"/>
  <c r="T116" i="18"/>
  <c r="U116" i="18"/>
  <c r="V116" i="18"/>
  <c r="W116" i="18"/>
  <c r="X116" i="18"/>
  <c r="J117" i="18"/>
  <c r="K117" i="18"/>
  <c r="L117" i="18"/>
  <c r="M117" i="18"/>
  <c r="N117" i="18"/>
  <c r="O117" i="18"/>
  <c r="P117" i="18"/>
  <c r="Q117" i="18"/>
  <c r="R117" i="18"/>
  <c r="S117" i="18"/>
  <c r="T117" i="18"/>
  <c r="U117" i="18"/>
  <c r="V117" i="18"/>
  <c r="W117" i="18"/>
  <c r="X117" i="18"/>
  <c r="F58" i="16" l="1"/>
  <c r="G58" i="16"/>
  <c r="H58" i="16"/>
  <c r="I58" i="16"/>
  <c r="J58" i="16"/>
  <c r="K58" i="16"/>
  <c r="L58" i="16"/>
  <c r="M58" i="16"/>
  <c r="N58" i="16"/>
  <c r="O58" i="16"/>
  <c r="P58" i="16"/>
  <c r="Q58" i="16"/>
  <c r="R58" i="16"/>
  <c r="S58" i="16"/>
  <c r="T58" i="16"/>
  <c r="U58" i="16"/>
  <c r="V58" i="16"/>
  <c r="W58" i="16"/>
  <c r="F59" i="16"/>
  <c r="G59" i="16"/>
  <c r="H59" i="16"/>
  <c r="I59" i="16"/>
  <c r="J59" i="16"/>
  <c r="K59" i="16"/>
  <c r="L59" i="16"/>
  <c r="M59" i="16"/>
  <c r="N59" i="16"/>
  <c r="O59" i="16"/>
  <c r="P59" i="16"/>
  <c r="Q59" i="16"/>
  <c r="R59" i="16"/>
  <c r="S59" i="16"/>
  <c r="T59" i="16"/>
  <c r="U59" i="16"/>
  <c r="V59" i="16"/>
  <c r="W59" i="16"/>
  <c r="F67" i="16"/>
  <c r="G67" i="16"/>
  <c r="H67" i="16"/>
  <c r="I67" i="16"/>
  <c r="J67" i="16"/>
  <c r="K67" i="16"/>
  <c r="L67" i="16"/>
  <c r="M67" i="16"/>
  <c r="N67" i="16"/>
  <c r="O67" i="16"/>
  <c r="P67" i="16"/>
  <c r="Q67" i="16"/>
  <c r="R67" i="16"/>
  <c r="S67" i="16"/>
  <c r="T67" i="16"/>
  <c r="U67" i="16"/>
  <c r="V67" i="16"/>
  <c r="W67" i="16"/>
  <c r="F68" i="16"/>
  <c r="G68" i="16"/>
  <c r="H68" i="16"/>
  <c r="I68" i="16"/>
  <c r="J68" i="16"/>
  <c r="K68" i="16"/>
  <c r="L68" i="16"/>
  <c r="M68" i="16"/>
  <c r="N68" i="16"/>
  <c r="O68" i="16"/>
  <c r="P68" i="16"/>
  <c r="Q68" i="16"/>
  <c r="R68" i="16"/>
  <c r="S68" i="16"/>
  <c r="T68" i="16"/>
  <c r="U68" i="16"/>
  <c r="V68" i="16"/>
  <c r="W68" i="16"/>
  <c r="F69" i="16"/>
  <c r="G69" i="16"/>
  <c r="H69" i="16"/>
  <c r="I69" i="16"/>
  <c r="J69" i="16"/>
  <c r="K69" i="16"/>
  <c r="L69" i="16"/>
  <c r="M69" i="16"/>
  <c r="N69" i="16"/>
  <c r="O69" i="16"/>
  <c r="P69" i="16"/>
  <c r="Q69" i="16"/>
  <c r="R69" i="16"/>
  <c r="S69" i="16"/>
  <c r="T69" i="16"/>
  <c r="U69" i="16"/>
  <c r="V69" i="16"/>
  <c r="W69" i="16"/>
  <c r="F70" i="16"/>
  <c r="G70" i="16"/>
  <c r="H70" i="16"/>
  <c r="I70" i="16"/>
  <c r="J70" i="16"/>
  <c r="K70" i="16"/>
  <c r="L70" i="16"/>
  <c r="M70" i="16"/>
  <c r="N70" i="16"/>
  <c r="O70" i="16"/>
  <c r="P70" i="16"/>
  <c r="Q70" i="16"/>
  <c r="R70" i="16"/>
  <c r="S70" i="16"/>
  <c r="T70" i="16"/>
  <c r="U70" i="16"/>
  <c r="V70" i="16"/>
  <c r="W70" i="16"/>
  <c r="F71" i="16"/>
  <c r="G71" i="16"/>
  <c r="H71" i="16"/>
  <c r="I71" i="16"/>
  <c r="J71" i="16"/>
  <c r="K71" i="16"/>
  <c r="L71" i="16"/>
  <c r="M71" i="16"/>
  <c r="N71" i="16"/>
  <c r="O71" i="16"/>
  <c r="P71" i="16"/>
  <c r="Q71" i="16"/>
  <c r="R71" i="16"/>
  <c r="S71" i="16"/>
  <c r="T71" i="16"/>
  <c r="U71" i="16"/>
  <c r="V71" i="16"/>
  <c r="W71" i="16"/>
  <c r="E54" i="15"/>
  <c r="E70" i="16" l="1"/>
  <c r="F54" i="15"/>
  <c r="G54" i="15"/>
  <c r="H54" i="15"/>
  <c r="I54" i="15"/>
  <c r="J54" i="15"/>
  <c r="K54" i="15"/>
  <c r="L54" i="15"/>
  <c r="M54" i="15"/>
  <c r="N54" i="15"/>
  <c r="O54" i="15"/>
  <c r="P54" i="15"/>
  <c r="Q54" i="15"/>
  <c r="R54" i="15"/>
  <c r="S54" i="15"/>
  <c r="T54" i="15"/>
  <c r="U54" i="15"/>
  <c r="V54" i="15"/>
  <c r="W54" i="15"/>
  <c r="F50" i="15"/>
  <c r="G50" i="15"/>
  <c r="H50" i="15"/>
  <c r="I50" i="15"/>
  <c r="J50" i="15"/>
  <c r="K50" i="15"/>
  <c r="L50" i="15"/>
  <c r="M50" i="15"/>
  <c r="N50" i="15"/>
  <c r="O50" i="15"/>
  <c r="P50" i="15"/>
  <c r="Q50" i="15"/>
  <c r="R50" i="15"/>
  <c r="S50" i="15"/>
  <c r="T50" i="15"/>
  <c r="U50" i="15"/>
  <c r="V50" i="15"/>
  <c r="W50" i="15"/>
  <c r="F51" i="15"/>
  <c r="G51" i="15"/>
  <c r="H51" i="15"/>
  <c r="I51" i="15"/>
  <c r="J51" i="15"/>
  <c r="K51" i="15"/>
  <c r="L51" i="15"/>
  <c r="M51" i="15"/>
  <c r="N51" i="15"/>
  <c r="O51" i="15"/>
  <c r="P51" i="15"/>
  <c r="Q51" i="15"/>
  <c r="R51" i="15"/>
  <c r="S51" i="15"/>
  <c r="T51" i="15"/>
  <c r="U51" i="15"/>
  <c r="V51" i="15"/>
  <c r="W51" i="15"/>
  <c r="F52" i="15"/>
  <c r="G52" i="15"/>
  <c r="H52" i="15"/>
  <c r="I52" i="15"/>
  <c r="J52" i="15"/>
  <c r="K52" i="15"/>
  <c r="L52" i="15"/>
  <c r="M52" i="15"/>
  <c r="N52" i="15"/>
  <c r="O52" i="15"/>
  <c r="P52" i="15"/>
  <c r="Q52" i="15"/>
  <c r="R52" i="15"/>
  <c r="S52" i="15"/>
  <c r="T52" i="15"/>
  <c r="U52" i="15"/>
  <c r="V52" i="15"/>
  <c r="W52" i="15"/>
  <c r="F53" i="15"/>
  <c r="G53" i="15"/>
  <c r="H53" i="15"/>
  <c r="I53" i="15"/>
  <c r="J53" i="15"/>
  <c r="K53" i="15"/>
  <c r="L53" i="15"/>
  <c r="M53" i="15"/>
  <c r="N53" i="15"/>
  <c r="O53" i="15"/>
  <c r="P53" i="15"/>
  <c r="Q53" i="15"/>
  <c r="R53" i="15"/>
  <c r="S53" i="15"/>
  <c r="T53" i="15"/>
  <c r="U53" i="15"/>
  <c r="V53" i="15"/>
  <c r="W53" i="15"/>
  <c r="E53" i="15"/>
  <c r="E52" i="15"/>
  <c r="E51" i="15"/>
  <c r="E50" i="15"/>
  <c r="E71" i="16"/>
  <c r="E69" i="16"/>
  <c r="E68" i="16"/>
  <c r="E67" i="16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D50" i="12"/>
  <c r="C50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D49" i="12"/>
  <c r="C49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D48" i="12"/>
  <c r="C48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D47" i="12"/>
  <c r="C47" i="12"/>
  <c r="I92" i="18" l="1"/>
  <c r="I112" i="18" s="1"/>
  <c r="I72" i="18"/>
  <c r="I74" i="18" l="1"/>
  <c r="I117" i="18" s="1"/>
  <c r="I109" i="18"/>
  <c r="I110" i="18"/>
  <c r="E74" i="18"/>
  <c r="D31" i="10"/>
  <c r="C31" i="10"/>
  <c r="E110" i="18" l="1"/>
  <c r="E117" i="18"/>
  <c r="J13" i="6"/>
  <c r="I26" i="6"/>
  <c r="I20" i="6"/>
  <c r="I13" i="6"/>
  <c r="E13" i="6"/>
  <c r="E58" i="16" l="1"/>
  <c r="E59" i="16"/>
  <c r="I48" i="17"/>
  <c r="M21" i="11"/>
  <c r="H30" i="10"/>
  <c r="U26" i="6"/>
  <c r="U24" i="6"/>
  <c r="U20" i="6"/>
  <c r="U23" i="6" s="1"/>
  <c r="U19" i="6"/>
  <c r="U18" i="6"/>
  <c r="U17" i="6"/>
  <c r="U16" i="6"/>
  <c r="U15" i="6"/>
  <c r="U14" i="6"/>
  <c r="U13" i="6"/>
  <c r="X90" i="18"/>
  <c r="W90" i="18"/>
  <c r="V90" i="18"/>
  <c r="U90" i="18"/>
  <c r="T90" i="18"/>
  <c r="S90" i="18"/>
  <c r="R90" i="18"/>
  <c r="Q90" i="18"/>
  <c r="P90" i="18"/>
  <c r="O90" i="18"/>
  <c r="N90" i="18"/>
  <c r="M90" i="18"/>
  <c r="L90" i="18"/>
  <c r="K90" i="18"/>
  <c r="J90" i="18"/>
  <c r="G90" i="18"/>
  <c r="F90" i="18"/>
  <c r="G72" i="18"/>
  <c r="J72" i="18"/>
  <c r="K72" i="18"/>
  <c r="L72" i="18"/>
  <c r="M72" i="18"/>
  <c r="N72" i="18"/>
  <c r="O72" i="18"/>
  <c r="P72" i="18"/>
  <c r="Q72" i="18"/>
  <c r="R72" i="18"/>
  <c r="S72" i="18"/>
  <c r="T72" i="18"/>
  <c r="U72" i="18"/>
  <c r="V72" i="18"/>
  <c r="W72" i="18"/>
  <c r="X72" i="18"/>
  <c r="F72" i="18"/>
  <c r="T15" i="11"/>
  <c r="T17" i="11" s="1"/>
  <c r="U15" i="11"/>
  <c r="U22" i="11"/>
  <c r="AC20" i="11"/>
  <c r="T22" i="11"/>
  <c r="AD22" i="11"/>
  <c r="AC22" i="11"/>
  <c r="AB22" i="11"/>
  <c r="AA22" i="11"/>
  <c r="Z22" i="11"/>
  <c r="Y22" i="11"/>
  <c r="X22" i="11"/>
  <c r="W22" i="11"/>
  <c r="V22" i="11"/>
  <c r="S22" i="11"/>
  <c r="R22" i="11"/>
  <c r="Q22" i="11"/>
  <c r="P22" i="11"/>
  <c r="O22" i="11"/>
  <c r="N22" i="11"/>
  <c r="AD21" i="11"/>
  <c r="AC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P21" i="11"/>
  <c r="O21" i="11"/>
  <c r="N21" i="11"/>
  <c r="AD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I22" i="11"/>
  <c r="H22" i="11"/>
  <c r="G22" i="11"/>
  <c r="F22" i="11"/>
  <c r="E22" i="11"/>
  <c r="D22" i="11"/>
  <c r="C22" i="11"/>
  <c r="F60" i="13"/>
  <c r="F59" i="13"/>
  <c r="F58" i="13"/>
  <c r="F57" i="13"/>
  <c r="F56" i="13"/>
  <c r="X91" i="13"/>
  <c r="W91" i="13"/>
  <c r="V91" i="13"/>
  <c r="U91" i="13"/>
  <c r="T91" i="13"/>
  <c r="S91" i="13"/>
  <c r="R91" i="13"/>
  <c r="Q91" i="13"/>
  <c r="P91" i="13"/>
  <c r="O91" i="13"/>
  <c r="N91" i="13"/>
  <c r="M91" i="13"/>
  <c r="L91" i="13"/>
  <c r="K91" i="13"/>
  <c r="J91" i="13"/>
  <c r="I91" i="13"/>
  <c r="H91" i="13"/>
  <c r="G91" i="13"/>
  <c r="F91" i="13"/>
  <c r="X90" i="13"/>
  <c r="W90" i="13"/>
  <c r="V90" i="13"/>
  <c r="U90" i="13"/>
  <c r="T90" i="13"/>
  <c r="S90" i="13"/>
  <c r="R90" i="13"/>
  <c r="Q90" i="13"/>
  <c r="P90" i="13"/>
  <c r="O90" i="13"/>
  <c r="N90" i="13"/>
  <c r="M90" i="13"/>
  <c r="L90" i="13"/>
  <c r="K90" i="13"/>
  <c r="J90" i="13"/>
  <c r="I90" i="13"/>
  <c r="H90" i="13"/>
  <c r="G90" i="13"/>
  <c r="F90" i="13"/>
  <c r="X89" i="13"/>
  <c r="W89" i="13"/>
  <c r="V89" i="13"/>
  <c r="U89" i="13"/>
  <c r="T89" i="13"/>
  <c r="S89" i="13"/>
  <c r="R89" i="13"/>
  <c r="Q89" i="13"/>
  <c r="P89" i="13"/>
  <c r="O89" i="13"/>
  <c r="N89" i="13"/>
  <c r="M89" i="13"/>
  <c r="L89" i="13"/>
  <c r="K89" i="13"/>
  <c r="J89" i="13"/>
  <c r="I89" i="13"/>
  <c r="H89" i="13"/>
  <c r="G89" i="13"/>
  <c r="F89" i="13"/>
  <c r="X88" i="13"/>
  <c r="W88" i="13"/>
  <c r="V88" i="13"/>
  <c r="U88" i="13"/>
  <c r="T88" i="13"/>
  <c r="S88" i="13"/>
  <c r="R88" i="13"/>
  <c r="Q88" i="13"/>
  <c r="P88" i="13"/>
  <c r="O88" i="13"/>
  <c r="N88" i="13"/>
  <c r="M88" i="13"/>
  <c r="L88" i="13"/>
  <c r="K88" i="13"/>
  <c r="J88" i="13"/>
  <c r="I88" i="13"/>
  <c r="H88" i="13"/>
  <c r="G88" i="13"/>
  <c r="F88" i="13"/>
  <c r="G74" i="13"/>
  <c r="H74" i="13"/>
  <c r="I74" i="13"/>
  <c r="J74" i="13"/>
  <c r="K74" i="13"/>
  <c r="L74" i="13"/>
  <c r="M74" i="13"/>
  <c r="N74" i="13"/>
  <c r="O74" i="13"/>
  <c r="P74" i="13"/>
  <c r="Q74" i="13"/>
  <c r="R74" i="13"/>
  <c r="S74" i="13"/>
  <c r="T74" i="13"/>
  <c r="U74" i="13"/>
  <c r="V74" i="13"/>
  <c r="W74" i="13"/>
  <c r="X74" i="13"/>
  <c r="G75" i="13"/>
  <c r="H75" i="13"/>
  <c r="I75" i="13"/>
  <c r="J75" i="13"/>
  <c r="K75" i="13"/>
  <c r="L75" i="13"/>
  <c r="M75" i="13"/>
  <c r="N75" i="13"/>
  <c r="O75" i="13"/>
  <c r="P75" i="13"/>
  <c r="Q75" i="13"/>
  <c r="R75" i="13"/>
  <c r="S75" i="13"/>
  <c r="T75" i="13"/>
  <c r="U75" i="13"/>
  <c r="V75" i="13"/>
  <c r="W75" i="13"/>
  <c r="X75" i="13"/>
  <c r="G56" i="13"/>
  <c r="H56" i="13"/>
  <c r="I56" i="13"/>
  <c r="G57" i="13"/>
  <c r="H57" i="13"/>
  <c r="I57" i="13"/>
  <c r="G58" i="13"/>
  <c r="H58" i="13"/>
  <c r="I58" i="13"/>
  <c r="G59" i="13"/>
  <c r="H59" i="13"/>
  <c r="I59" i="13"/>
  <c r="G60" i="13"/>
  <c r="H60" i="13"/>
  <c r="I60" i="13"/>
  <c r="D24" i="13"/>
  <c r="E24" i="13"/>
  <c r="F24" i="13"/>
  <c r="G24" i="13"/>
  <c r="H24" i="13"/>
  <c r="I24" i="13"/>
  <c r="D25" i="13"/>
  <c r="E25" i="13"/>
  <c r="F25" i="13"/>
  <c r="G25" i="13"/>
  <c r="H25" i="13"/>
  <c r="I25" i="13"/>
  <c r="D26" i="13"/>
  <c r="E26" i="13"/>
  <c r="F26" i="13"/>
  <c r="G26" i="13"/>
  <c r="H26" i="13"/>
  <c r="I26" i="13"/>
  <c r="C26" i="13"/>
  <c r="C25" i="13"/>
  <c r="C24" i="13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L24" i="19"/>
  <c r="K24" i="19"/>
  <c r="J24" i="19"/>
  <c r="I24" i="19"/>
  <c r="Y23" i="19"/>
  <c r="X23" i="19"/>
  <c r="W23" i="19"/>
  <c r="V23" i="19"/>
  <c r="U23" i="19"/>
  <c r="T23" i="19"/>
  <c r="S23" i="19"/>
  <c r="R23" i="19"/>
  <c r="Q23" i="19"/>
  <c r="P23" i="19"/>
  <c r="O23" i="19"/>
  <c r="N23" i="19"/>
  <c r="M23" i="19"/>
  <c r="L23" i="19"/>
  <c r="K23" i="19"/>
  <c r="J23" i="19"/>
  <c r="I23" i="19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3" i="10"/>
  <c r="I32" i="10"/>
  <c r="J37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I37" i="9"/>
  <c r="BS32" i="6"/>
  <c r="BP32" i="6"/>
  <c r="BM32" i="6"/>
  <c r="BJ32" i="6"/>
  <c r="BG32" i="6"/>
  <c r="BD32" i="6"/>
  <c r="BA32" i="6"/>
  <c r="AX32" i="6"/>
  <c r="AU32" i="6"/>
  <c r="AR32" i="6"/>
  <c r="AO32" i="6"/>
  <c r="AL32" i="6"/>
  <c r="AI32" i="6"/>
  <c r="AF32" i="6"/>
  <c r="AC32" i="6"/>
  <c r="BS31" i="6"/>
  <c r="BR31" i="6"/>
  <c r="BS30" i="6"/>
  <c r="BR30" i="6"/>
  <c r="BS29" i="6"/>
  <c r="BR29" i="6"/>
  <c r="BP31" i="6"/>
  <c r="BO31" i="6"/>
  <c r="BP30" i="6"/>
  <c r="BO30" i="6"/>
  <c r="BP29" i="6"/>
  <c r="BO29" i="6"/>
  <c r="BM31" i="6"/>
  <c r="BL31" i="6"/>
  <c r="BM30" i="6"/>
  <c r="BL30" i="6"/>
  <c r="BM29" i="6"/>
  <c r="BL29" i="6"/>
  <c r="BJ31" i="6"/>
  <c r="BI31" i="6"/>
  <c r="BJ30" i="6"/>
  <c r="BI30" i="6"/>
  <c r="BJ29" i="6"/>
  <c r="BI29" i="6"/>
  <c r="BG31" i="6"/>
  <c r="BF31" i="6"/>
  <c r="BG30" i="6"/>
  <c r="BF30" i="6"/>
  <c r="BG29" i="6"/>
  <c r="BF29" i="6"/>
  <c r="BD31" i="6"/>
  <c r="BC31" i="6"/>
  <c r="BD30" i="6"/>
  <c r="BC30" i="6"/>
  <c r="BD29" i="6"/>
  <c r="BC29" i="6"/>
  <c r="BA31" i="6"/>
  <c r="AZ31" i="6"/>
  <c r="BA30" i="6"/>
  <c r="AZ30" i="6"/>
  <c r="BA29" i="6"/>
  <c r="AZ29" i="6"/>
  <c r="AX31" i="6"/>
  <c r="AW31" i="6"/>
  <c r="AX30" i="6"/>
  <c r="AW30" i="6"/>
  <c r="AX29" i="6"/>
  <c r="AW29" i="6"/>
  <c r="AU31" i="6"/>
  <c r="AT31" i="6"/>
  <c r="AU30" i="6"/>
  <c r="AT30" i="6"/>
  <c r="AU29" i="6"/>
  <c r="AT29" i="6"/>
  <c r="AR31" i="6"/>
  <c r="AQ31" i="6"/>
  <c r="AR30" i="6"/>
  <c r="AQ30" i="6"/>
  <c r="AR29" i="6"/>
  <c r="AQ29" i="6"/>
  <c r="AO31" i="6"/>
  <c r="AN31" i="6"/>
  <c r="AO30" i="6"/>
  <c r="AN30" i="6"/>
  <c r="AO29" i="6"/>
  <c r="AN29" i="6"/>
  <c r="AL31" i="6"/>
  <c r="AK31" i="6"/>
  <c r="AL30" i="6"/>
  <c r="AK30" i="6"/>
  <c r="AL29" i="6"/>
  <c r="AK29" i="6"/>
  <c r="AI31" i="6"/>
  <c r="AH31" i="6"/>
  <c r="AI30" i="6"/>
  <c r="AH30" i="6"/>
  <c r="AI29" i="6"/>
  <c r="AH29" i="6"/>
  <c r="AF31" i="6"/>
  <c r="AE31" i="6"/>
  <c r="AF30" i="6"/>
  <c r="AE30" i="6"/>
  <c r="AF29" i="6"/>
  <c r="AE29" i="6"/>
  <c r="AC31" i="6"/>
  <c r="AB31" i="6"/>
  <c r="AC30" i="6"/>
  <c r="AB30" i="6"/>
  <c r="AC29" i="6"/>
  <c r="AB29" i="6"/>
  <c r="Z32" i="6"/>
  <c r="W32" i="6"/>
  <c r="Z31" i="6"/>
  <c r="Y31" i="6"/>
  <c r="W31" i="6"/>
  <c r="V31" i="6"/>
  <c r="Z30" i="6"/>
  <c r="Y30" i="6"/>
  <c r="W30" i="6"/>
  <c r="V30" i="6"/>
  <c r="Z29" i="6"/>
  <c r="Y29" i="6"/>
  <c r="W29" i="6"/>
  <c r="V29" i="6"/>
  <c r="G32" i="6"/>
  <c r="D32" i="6"/>
  <c r="G31" i="6"/>
  <c r="G30" i="6"/>
  <c r="G29" i="6"/>
  <c r="D31" i="6"/>
  <c r="C31" i="6"/>
  <c r="D30" i="6"/>
  <c r="C30" i="6"/>
  <c r="D29" i="6"/>
  <c r="C29" i="6"/>
  <c r="F31" i="6"/>
  <c r="F30" i="6"/>
  <c r="F29" i="6"/>
  <c r="G111" i="18" l="1"/>
  <c r="G112" i="18"/>
  <c r="F112" i="18"/>
  <c r="F111" i="18"/>
  <c r="F110" i="18"/>
  <c r="F109" i="18"/>
  <c r="G110" i="18"/>
  <c r="G109" i="18"/>
  <c r="T110" i="18"/>
  <c r="T109" i="18"/>
  <c r="L109" i="18"/>
  <c r="L110" i="18"/>
  <c r="J111" i="18"/>
  <c r="J112" i="18"/>
  <c r="R111" i="18"/>
  <c r="R112" i="18"/>
  <c r="M109" i="18"/>
  <c r="M110" i="18"/>
  <c r="S109" i="18"/>
  <c r="S110" i="18"/>
  <c r="K109" i="18"/>
  <c r="K110" i="18"/>
  <c r="K111" i="18"/>
  <c r="K112" i="18"/>
  <c r="S111" i="18"/>
  <c r="S112" i="18"/>
  <c r="X111" i="18"/>
  <c r="X112" i="18"/>
  <c r="R109" i="18"/>
  <c r="R110" i="18"/>
  <c r="J109" i="18"/>
  <c r="J110" i="18"/>
  <c r="L112" i="18"/>
  <c r="L111" i="18"/>
  <c r="T111" i="18"/>
  <c r="T112" i="18"/>
  <c r="V109" i="18"/>
  <c r="V110" i="18"/>
  <c r="U109" i="18"/>
  <c r="U110" i="18"/>
  <c r="Q109" i="18"/>
  <c r="Q110" i="18"/>
  <c r="M111" i="18"/>
  <c r="M112" i="18"/>
  <c r="U111" i="18"/>
  <c r="U112" i="18"/>
  <c r="N109" i="18"/>
  <c r="N110" i="18"/>
  <c r="X109" i="18"/>
  <c r="X110" i="18"/>
  <c r="P109" i="18"/>
  <c r="P110" i="18"/>
  <c r="N111" i="18"/>
  <c r="N112" i="18"/>
  <c r="V111" i="18"/>
  <c r="V112" i="18"/>
  <c r="P111" i="18"/>
  <c r="P112" i="18"/>
  <c r="Q111" i="18"/>
  <c r="Q112" i="18"/>
  <c r="W109" i="18"/>
  <c r="W110" i="18"/>
  <c r="O109" i="18"/>
  <c r="O110" i="18"/>
  <c r="O111" i="18"/>
  <c r="O112" i="18"/>
  <c r="W111" i="18"/>
  <c r="W112" i="18"/>
  <c r="I72" i="17"/>
  <c r="I71" i="17"/>
  <c r="C91" i="13"/>
  <c r="C90" i="13"/>
  <c r="AD15" i="11" l="1"/>
  <c r="AD17" i="11" s="1"/>
  <c r="AC15" i="11"/>
  <c r="AC17" i="11" s="1"/>
  <c r="AB15" i="11"/>
  <c r="AB17" i="11" s="1"/>
  <c r="AA15" i="11"/>
  <c r="AA17" i="11" s="1"/>
  <c r="Z15" i="11"/>
  <c r="Z17" i="11" s="1"/>
  <c r="Y15" i="11"/>
  <c r="Y17" i="11" s="1"/>
  <c r="X15" i="11"/>
  <c r="X17" i="11" s="1"/>
  <c r="W15" i="11"/>
  <c r="W17" i="11" s="1"/>
  <c r="V15" i="11"/>
  <c r="V17" i="11" s="1"/>
  <c r="U17" i="11"/>
  <c r="S15" i="11"/>
  <c r="S17" i="11" s="1"/>
  <c r="R15" i="11"/>
  <c r="R17" i="11" s="1"/>
  <c r="Q15" i="11"/>
  <c r="Q17" i="11" s="1"/>
  <c r="P15" i="11"/>
  <c r="P17" i="11" s="1"/>
  <c r="O15" i="11"/>
  <c r="O17" i="11" s="1"/>
  <c r="N15" i="11"/>
  <c r="N17" i="11" s="1"/>
  <c r="C88" i="13" l="1"/>
  <c r="C89" i="13"/>
  <c r="I14" i="6"/>
  <c r="J14" i="6"/>
  <c r="I15" i="6"/>
  <c r="J15" i="6"/>
  <c r="I16" i="6"/>
  <c r="J16" i="6"/>
  <c r="I17" i="6"/>
  <c r="J17" i="6"/>
  <c r="I18" i="6"/>
  <c r="J18" i="6"/>
  <c r="I19" i="6"/>
  <c r="J19" i="6"/>
  <c r="J20" i="6"/>
  <c r="I23" i="6"/>
  <c r="J23" i="6"/>
  <c r="I24" i="6"/>
  <c r="J24" i="6"/>
  <c r="J25" i="6"/>
  <c r="J26" i="6"/>
  <c r="E24" i="6"/>
  <c r="E14" i="6"/>
  <c r="E15" i="6"/>
  <c r="E16" i="6"/>
  <c r="E17" i="6"/>
  <c r="E18" i="6"/>
  <c r="E19" i="6"/>
  <c r="E20" i="6"/>
  <c r="E23" i="6" s="1"/>
  <c r="D85" i="4" l="1"/>
  <c r="D95" i="4" s="1"/>
  <c r="AM23" i="6" l="1"/>
  <c r="C18" i="5" l="1"/>
  <c r="C13" i="5"/>
  <c r="D23" i="13" l="1"/>
  <c r="E23" i="13"/>
  <c r="F23" i="13"/>
  <c r="G23" i="13"/>
  <c r="H23" i="13"/>
  <c r="I23" i="13"/>
  <c r="D30" i="13"/>
  <c r="E30" i="13"/>
  <c r="F30" i="13"/>
  <c r="G30" i="13"/>
  <c r="H30" i="13"/>
  <c r="I30" i="13"/>
  <c r="C30" i="13"/>
  <c r="C23" i="13"/>
  <c r="I22" i="19"/>
  <c r="J22" i="19"/>
  <c r="K22" i="19"/>
  <c r="C18" i="14" l="1"/>
  <c r="C21" i="14" s="1"/>
  <c r="D32" i="10"/>
  <c r="C32" i="10"/>
  <c r="D18" i="3" l="1"/>
  <c r="E18" i="3"/>
  <c r="C18" i="3"/>
</calcChain>
</file>

<file path=xl/sharedStrings.xml><?xml version="1.0" encoding="utf-8"?>
<sst xmlns="http://schemas.openxmlformats.org/spreadsheetml/2006/main" count="1860" uniqueCount="597">
  <si>
    <t>Cemig</t>
  </si>
  <si>
    <t xml:space="preserve">Cemig GT </t>
  </si>
  <si>
    <t>Cemig Itajuba</t>
  </si>
  <si>
    <t>Centroeste</t>
  </si>
  <si>
    <t>Sete Lagoas</t>
  </si>
  <si>
    <t>-</t>
  </si>
  <si>
    <t xml:space="preserve">Valores em R$ mil por Ciclo </t>
  </si>
  <si>
    <t>2022-2023</t>
  </si>
  <si>
    <t>2023-2024</t>
  </si>
  <si>
    <t>Econômico</t>
  </si>
  <si>
    <t>Financeiro</t>
  </si>
  <si>
    <t>TOTAL</t>
  </si>
  <si>
    <t xml:space="preserve">Usinas </t>
  </si>
  <si>
    <t xml:space="preserve"> Empresa </t>
  </si>
  <si>
    <t>Potência Cemig (MW)</t>
  </si>
  <si>
    <t>Garantia Física Cemig (MW)</t>
  </si>
  <si>
    <t>Fim da Concessão</t>
  </si>
  <si>
    <t>Tipo</t>
  </si>
  <si>
    <t>Participação Cemig</t>
  </si>
  <si>
    <t>Emborcação</t>
  </si>
  <si>
    <t>CEMIG GT</t>
  </si>
  <si>
    <t>UHE</t>
  </si>
  <si>
    <t>Nova Ponte</t>
  </si>
  <si>
    <t>Três Marias</t>
  </si>
  <si>
    <t>Irapé</t>
  </si>
  <si>
    <t>Salto Grande</t>
  </si>
  <si>
    <t xml:space="preserve">Sá Carvalho     </t>
  </si>
  <si>
    <t>Rosal</t>
  </si>
  <si>
    <t>Itutinga</t>
  </si>
  <si>
    <t>CEMIG G. ITUTINGA</t>
  </si>
  <si>
    <t>Camargos</t>
  </si>
  <si>
    <t>CEMIG G. CAMARGOS</t>
  </si>
  <si>
    <t>Volta do Rio</t>
  </si>
  <si>
    <t>EOL</t>
  </si>
  <si>
    <t>Poço Fundo</t>
  </si>
  <si>
    <t>PCH</t>
  </si>
  <si>
    <t xml:space="preserve">Pai Joaquim             </t>
  </si>
  <si>
    <t>Piau</t>
  </si>
  <si>
    <t>CEMIG G. SUL</t>
  </si>
  <si>
    <t xml:space="preserve">Praias de Parajuru </t>
  </si>
  <si>
    <t>Gafanhoto</t>
  </si>
  <si>
    <t>CEMIG G. OESTE</t>
  </si>
  <si>
    <t>Peti</t>
  </si>
  <si>
    <t>CEMIG G. LESTE</t>
  </si>
  <si>
    <t>Joasal</t>
  </si>
  <si>
    <t xml:space="preserve">Queimado  </t>
  </si>
  <si>
    <t>Belo Monte</t>
  </si>
  <si>
    <t>Norte</t>
  </si>
  <si>
    <t>Paracambi</t>
  </si>
  <si>
    <t xml:space="preserve">Cachoeirão                        </t>
  </si>
  <si>
    <t>Hidrelétrica Cachoeirão</t>
  </si>
  <si>
    <t>Pipoca</t>
  </si>
  <si>
    <t>Hidrelétrica Pipoca</t>
  </si>
  <si>
    <t>Outras usinas (1)</t>
  </si>
  <si>
    <t>Subtotal</t>
  </si>
  <si>
    <t>Cemig Sim (MWp) (2)</t>
  </si>
  <si>
    <t>Participações</t>
  </si>
  <si>
    <t>UFV</t>
  </si>
  <si>
    <t>Próprias</t>
  </si>
  <si>
    <t>Total</t>
  </si>
  <si>
    <t>(1) Outras Usinas</t>
  </si>
  <si>
    <t>Neblina</t>
  </si>
  <si>
    <t>Tronqueiras</t>
  </si>
  <si>
    <t>Cel. Domiciano</t>
  </si>
  <si>
    <t>Ervália</t>
  </si>
  <si>
    <t>Marmelos</t>
  </si>
  <si>
    <t>Cajuru</t>
  </si>
  <si>
    <t>Paciência</t>
  </si>
  <si>
    <t>Paraúna</t>
  </si>
  <si>
    <t>Indeterminado</t>
  </si>
  <si>
    <t>Martins</t>
  </si>
  <si>
    <t>Machado Mineiro</t>
  </si>
  <si>
    <t>CGH</t>
  </si>
  <si>
    <t>Dona Rita</t>
  </si>
  <si>
    <t xml:space="preserve">Luiz Dias     </t>
  </si>
  <si>
    <t>Sinceridade</t>
  </si>
  <si>
    <t>Central Mineirão</t>
  </si>
  <si>
    <t>Dores de Guanhães</t>
  </si>
  <si>
    <t>Ganhães Energia</t>
  </si>
  <si>
    <t>Senhora do Porto</t>
  </si>
  <si>
    <t>Jacaré</t>
  </si>
  <si>
    <t>Fortuna II</t>
  </si>
  <si>
    <t>Total Outras Usinas</t>
  </si>
  <si>
    <t>(2) Cemig Sim</t>
  </si>
  <si>
    <t>Potência Cemig (MWp)</t>
  </si>
  <si>
    <t>Janaúba</t>
  </si>
  <si>
    <t>Cemig Sim</t>
  </si>
  <si>
    <t>Corinto</t>
  </si>
  <si>
    <t>Manga</t>
  </si>
  <si>
    <t>Bonfinópolis</t>
  </si>
  <si>
    <t>Lagoa Grande</t>
  </si>
  <si>
    <t>Lontra</t>
  </si>
  <si>
    <t>Mato Verde</t>
  </si>
  <si>
    <t>Mirabela</t>
  </si>
  <si>
    <t>Porteirinha I</t>
  </si>
  <si>
    <t>Porteirinha II</t>
  </si>
  <si>
    <t>Brasilândia</t>
  </si>
  <si>
    <t>Apolo 1</t>
  </si>
  <si>
    <t>Apolo 2</t>
  </si>
  <si>
    <t>Participações Cemig Sim</t>
  </si>
  <si>
    <t>Campo Lindo 1</t>
  </si>
  <si>
    <t>Campo Lindo 2</t>
  </si>
  <si>
    <t>Olaria 1</t>
  </si>
  <si>
    <t>Olaria 2</t>
  </si>
  <si>
    <t>Prudente de Morais</t>
  </si>
  <si>
    <t>DUCEU (Montes Claros)</t>
  </si>
  <si>
    <t>Cemig Sim Próprias</t>
  </si>
  <si>
    <t xml:space="preserve">Total Cemig Sim </t>
  </si>
  <si>
    <t>REQUISITOS TOTAIS</t>
  </si>
  <si>
    <t>Energia Produzida</t>
  </si>
  <si>
    <t>Energia Comercializada</t>
  </si>
  <si>
    <t xml:space="preserve">Geração Própria                               </t>
  </si>
  <si>
    <t xml:space="preserve">Energia Empresas Coligadas          </t>
  </si>
  <si>
    <t xml:space="preserve">Perdas Geração Rede Básica          </t>
  </si>
  <si>
    <t>Perdas - Rede de Distribuição</t>
  </si>
  <si>
    <t>Energia Comprada</t>
  </si>
  <si>
    <t xml:space="preserve">Itaipu </t>
  </si>
  <si>
    <t>Contratos Regulados (1)</t>
  </si>
  <si>
    <t xml:space="preserve">Compra no MRE (2)                           </t>
  </si>
  <si>
    <t>Perdas - Rede Básica</t>
  </si>
  <si>
    <t xml:space="preserve">Compra na CCEE                            </t>
  </si>
  <si>
    <t xml:space="preserve">Contratos Bilaterais                       </t>
  </si>
  <si>
    <t>CCEN</t>
  </si>
  <si>
    <t>CCGF</t>
  </si>
  <si>
    <t xml:space="preserve">Recebimento na RD (3)                        </t>
  </si>
  <si>
    <t>PROINFA  (4)</t>
  </si>
  <si>
    <t>1. Contratos de Comercialização de Energia no Ambiente Regulado - CCEAR e Leilão de Ajuste</t>
  </si>
  <si>
    <t>2. Mecanismo de Realocação de Energia - MRE</t>
  </si>
  <si>
    <t>3. Geração injetada diretamente na Rede de Distribuição (Micro e Mini GD)</t>
  </si>
  <si>
    <t>4. Programa de incentivo às fontes alternativas de energia - PROINFA</t>
  </si>
  <si>
    <t>(Em milhares de Reais)</t>
  </si>
  <si>
    <t xml:space="preserve">  HISTÓRICO</t>
  </si>
  <si>
    <t>Variação %</t>
  </si>
  <si>
    <t>3T23</t>
  </si>
  <si>
    <t>2T23</t>
  </si>
  <si>
    <t>1T23</t>
  </si>
  <si>
    <t>3T22</t>
  </si>
  <si>
    <t>2T22</t>
  </si>
  <si>
    <t>1T22</t>
  </si>
  <si>
    <t>3T21</t>
  </si>
  <si>
    <t>2T21</t>
  </si>
  <si>
    <t>1T21</t>
  </si>
  <si>
    <t>3T20</t>
  </si>
  <si>
    <t>2T20</t>
  </si>
  <si>
    <t>1T20</t>
  </si>
  <si>
    <t>3T19</t>
  </si>
  <si>
    <t>2T19</t>
  </si>
  <si>
    <t>1T19</t>
  </si>
  <si>
    <t>MWh</t>
  </si>
  <si>
    <t>R$</t>
  </si>
  <si>
    <t>Preço Médio MWh Faturado  (R$/MWh) (1)</t>
  </si>
  <si>
    <r>
      <t>R$ (Mil)</t>
    </r>
    <r>
      <rPr>
        <sz val="7"/>
        <color rgb="FFFFFFFF"/>
        <rFont val="Calibri"/>
        <family val="2"/>
      </rPr>
      <t> </t>
    </r>
  </si>
  <si>
    <r>
      <t>Preço médio MWh faturado (R$/MWh) (1)</t>
    </r>
    <r>
      <rPr>
        <sz val="7"/>
        <color rgb="FFFFFFFF"/>
        <rFont val="Calibri"/>
        <family val="2"/>
      </rPr>
      <t> </t>
    </r>
  </si>
  <si>
    <t>R$ (Mil) </t>
  </si>
  <si>
    <t>Preço médio MWh faturado (R$/MWh) (1) </t>
  </si>
  <si>
    <t>Residencial </t>
  </si>
  <si>
    <t>Industrial </t>
  </si>
  <si>
    <t>Comércio, serviços e outros </t>
  </si>
  <si>
    <t>Rural </t>
  </si>
  <si>
    <t>Poder público </t>
  </si>
  <si>
    <t>Iluminação pública </t>
  </si>
  <si>
    <t>Serviço público </t>
  </si>
  <si>
    <r>
      <t>Subtotal</t>
    </r>
    <r>
      <rPr>
        <b/>
        <sz val="7"/>
        <color rgb="FF404040"/>
        <rFont val="Calibri"/>
        <family val="2"/>
      </rPr>
      <t> </t>
    </r>
  </si>
  <si>
    <t>Consumo Próprio </t>
  </si>
  <si>
    <t>Fornecimento não faturado líquido </t>
  </si>
  <si>
    <r>
      <t> </t>
    </r>
    <r>
      <rPr>
        <sz val="7"/>
        <color rgb="FF404040"/>
        <rFont val="Calibri"/>
        <family val="2"/>
      </rPr>
      <t> </t>
    </r>
  </si>
  <si>
    <t>Suprimento a outras concessionárias</t>
  </si>
  <si>
    <t>Suprimento não faturado líquido </t>
  </si>
  <si>
    <r>
      <t>Total</t>
    </r>
    <r>
      <rPr>
        <b/>
        <sz val="7"/>
        <color rgb="FF404040"/>
        <rFont val="Calibri"/>
        <family val="2"/>
      </rPr>
      <t> </t>
    </r>
  </si>
  <si>
    <t>Perdas Reais</t>
  </si>
  <si>
    <t>Perdas Totais (GWh)</t>
  </si>
  <si>
    <t>% Perdas Reais</t>
  </si>
  <si>
    <t>% Perdas regulatórias</t>
  </si>
  <si>
    <t>DEC
Duração Equivalente de Interrupção por Unidade Consumidora</t>
  </si>
  <si>
    <t>Acumulado Cemig</t>
  </si>
  <si>
    <t>Limite Regulatório</t>
  </si>
  <si>
    <t>FEC
Frequência Equivalente de Interrupção por Unidade Consumidora</t>
  </si>
  <si>
    <t>Fornecimento bruto de energia elétrica</t>
  </si>
  <si>
    <t>Receita de uso dos sistemas elétricos de distribuição – TUSD </t>
  </si>
  <si>
    <t>CVA e outros componentes financeiros </t>
  </si>
  <si>
    <t>Restituição de créditos de PIS/Pasep e Cofins aos consumidores - Realização</t>
  </si>
  <si>
    <t>Receita de transmissão </t>
  </si>
  <si>
    <t>     Receita de operação e manutenção </t>
  </si>
  <si>
    <t>     Remuneração financeira do ativo de contrato da transmissão</t>
  </si>
  <si>
    <t>     Receita de concessão da transmissão</t>
  </si>
  <si>
    <t>     Receita de indenização de transmissão</t>
  </si>
  <si>
    <t>Receita de indenização da geração</t>
  </si>
  <si>
    <t>- </t>
  </si>
  <si>
    <t>Receita de construção de distribuição </t>
  </si>
  <si>
    <t>Ajuste de expectativa do fluxo de caixa do ativo financeiro indenizável da concessão de distribuição </t>
  </si>
  <si>
    <t>Receita de atualização financeira da bonificação pela outorga </t>
  </si>
  <si>
    <t>Liquidação na CCEE </t>
  </si>
  <si>
    <t>Transações no mecanismo de venda de excedentes - MVE </t>
  </si>
  <si>
    <t>Fornecimento de gás </t>
  </si>
  <si>
    <t>Multa por violação de padrão indicador de continuidade  </t>
  </si>
  <si>
    <t>Receita por antecipação de prestação de serviço</t>
  </si>
  <si>
    <t>Recuperação de créditos de PIS/Pasep e Cofins sobre ICMS</t>
  </si>
  <si>
    <t>Créditos de PIS/Pasep e Cofins a restituir a consumidores</t>
  </si>
  <si>
    <t>Outras receitas operacionais</t>
  </si>
  <si>
    <t>Tributos e encargos incidentes sobre a receita</t>
  </si>
  <si>
    <r>
      <t>Receita operacional líquida</t>
    </r>
    <r>
      <rPr>
        <sz val="7"/>
        <color rgb="FF404040"/>
        <rFont val="Calibri"/>
        <family val="2"/>
      </rPr>
      <t> </t>
    </r>
  </si>
  <si>
    <t>Energia elétrica comprada para revenda</t>
  </si>
  <si>
    <t>Encargos de uso da rede básica</t>
  </si>
  <si>
    <t>Gás comprado para revenda</t>
  </si>
  <si>
    <t>Custos de construção de infraestrutura</t>
  </si>
  <si>
    <t>Pessoal</t>
  </si>
  <si>
    <t>Participação dos empregados e administradores no resultado</t>
  </si>
  <si>
    <t>Obrigações pós-emprego</t>
  </si>
  <si>
    <t>Materiais</t>
  </si>
  <si>
    <t>Serviços de terceiros</t>
  </si>
  <si>
    <t>Depreciação e amortização</t>
  </si>
  <si>
    <t>Perda por redução ao valor recuperável</t>
  </si>
  <si>
    <t>Perdas de créditos esperadas</t>
  </si>
  <si>
    <t>Reversão de perda esperada com parte relacionada - Renova</t>
  </si>
  <si>
    <t xml:space="preserve">Baixa de ativo financeiro </t>
  </si>
  <si>
    <t>Ganho na alienação de investimento</t>
  </si>
  <si>
    <t>Outros custos e despesas operacionais</t>
  </si>
  <si>
    <t>Energia de Itaipu Binacional  </t>
  </si>
  <si>
    <t>Contratos por cotas de garantia física  </t>
  </si>
  <si>
    <t>Cotas das usinas de Angra I e II  </t>
  </si>
  <si>
    <t>Energia de curto prazo  </t>
  </si>
  <si>
    <t>Proinfa </t>
  </si>
  <si>
    <t>Contratos bilaterais  </t>
  </si>
  <si>
    <t>Energia adquirida através de leilão em ambiente regulado  </t>
  </si>
  <si>
    <t>Energia adquirida no ambiente livre</t>
  </si>
  <si>
    <t>Geração distribuída </t>
  </si>
  <si>
    <t>Créditos de PIS/Pasep e Cofins </t>
  </si>
  <si>
    <t>  </t>
  </si>
  <si>
    <r>
      <t>RECEITAS FINANCEIRAS </t>
    </r>
    <r>
      <rPr>
        <sz val="7"/>
        <color rgb="FF404040"/>
        <rFont val="Calibri"/>
        <family val="2"/>
      </rPr>
      <t> </t>
    </r>
  </si>
  <si>
    <t> </t>
  </si>
  <si>
    <t>Renda de aplicação financeira </t>
  </si>
  <si>
    <t>Acréscimos moratórios sobre venda de energia </t>
  </si>
  <si>
    <t>Variações cambiais – Itaipu Binacional </t>
  </si>
  <si>
    <t>Variações cambiais - Empréstimos e debêntures</t>
  </si>
  <si>
    <t>Variação monetária </t>
  </si>
  <si>
    <t>Variação monetária – CVA </t>
  </si>
  <si>
    <t>Variação monetária de depósitos vinculados a litígios </t>
  </si>
  <si>
    <t>Ganhos com instrumentos financeiros - Swap</t>
  </si>
  <si>
    <t>PIS/Pasep e Cofins incidente sobre as receitas financeiras</t>
  </si>
  <si>
    <t>Rendas de antecipação de pagamento </t>
  </si>
  <si>
    <t>Encargos de créditos com partes relacionadas </t>
  </si>
  <si>
    <t>Atualização dos créditos de PIS/Pasep e Cofins sobre ICMS</t>
  </si>
  <si>
    <t>Outras receitas financeiras </t>
  </si>
  <si>
    <t xml:space="preserve">DESPESAS FINANCEIRAS </t>
  </si>
  <si>
    <t>Encargos de empréstimos e debêntures</t>
  </si>
  <si>
    <t>Amortização do custo de transação </t>
  </si>
  <si>
    <t>Variações cambiais - Empréstimos e debêntures </t>
  </si>
  <si>
    <t>Ágio na recompra de títulos de dívida (Eurobonds)</t>
  </si>
  <si>
    <t>Variações cambiais – Itaipu Binacional</t>
  </si>
  <si>
    <t>Variação monetária – Empréstimos e debêntures </t>
  </si>
  <si>
    <t>Variação monetária – CVA</t>
  </si>
  <si>
    <t>Variação monetária – Concessão onerosa</t>
  </si>
  <si>
    <t>Encargos e variação monetária de obrigação pós-emprego </t>
  </si>
  <si>
    <t>Perdas com instrumentos financeiros - Swap </t>
  </si>
  <si>
    <t xml:space="preserve">Atualização PIS/Pasep e Cofins a restituir </t>
  </si>
  <si>
    <t>Variação monetária de arrendamento </t>
  </si>
  <si>
    <t xml:space="preserve">Atualização financeira – adiantamento de clientes </t>
  </si>
  <si>
    <t>Despesas financeiras P&amp;D e PEE </t>
  </si>
  <si>
    <t>Outras despesas financeiras </t>
  </si>
  <si>
    <t>RESULTADO FINANCEIRO LÍQUIDO</t>
  </si>
  <si>
    <t>Amortização da dívida</t>
  </si>
  <si>
    <t>2029 em diante</t>
  </si>
  <si>
    <r>
      <t>Moedas</t>
    </r>
    <r>
      <rPr>
        <sz val="7"/>
        <color rgb="FF404040"/>
        <rFont val="Calibri"/>
        <family val="2"/>
        <scheme val="minor"/>
      </rPr>
      <t> </t>
    </r>
  </si>
  <si>
    <t>Dólar Norte-Americano </t>
  </si>
  <si>
    <r>
      <t>Total por moedas</t>
    </r>
    <r>
      <rPr>
        <sz val="7"/>
        <color rgb="FF404040"/>
        <rFont val="Calibri"/>
        <family val="2"/>
        <scheme val="minor"/>
      </rPr>
      <t> </t>
    </r>
  </si>
  <si>
    <r>
      <t>Indexadores</t>
    </r>
    <r>
      <rPr>
        <sz val="7"/>
        <color rgb="FF404040"/>
        <rFont val="Calibri"/>
        <family val="2"/>
        <scheme val="minor"/>
      </rPr>
      <t> </t>
    </r>
  </si>
  <si>
    <t>IPCA</t>
  </si>
  <si>
    <t>CDI</t>
  </si>
  <si>
    <r>
      <t>Total por indexadores</t>
    </r>
    <r>
      <rPr>
        <b/>
        <sz val="7"/>
        <color rgb="FF404040"/>
        <rFont val="Calibri"/>
        <family val="2"/>
        <scheme val="minor"/>
      </rPr>
      <t> </t>
    </r>
  </si>
  <si>
    <t>(-) Custos de transação </t>
  </si>
  <si>
    <t>(±) Recursos antecipados </t>
  </si>
  <si>
    <r>
      <t>Total geral</t>
    </r>
    <r>
      <rPr>
        <sz val="7"/>
        <color rgb="FF404040"/>
        <rFont val="Calibri"/>
        <family val="2"/>
        <scheme val="minor"/>
      </rPr>
      <t> </t>
    </r>
  </si>
  <si>
    <t>Financiadores</t>
  </si>
  <si>
    <t>Vencimento principal</t>
  </si>
  <si>
    <t>Encargos financeiros anuais</t>
  </si>
  <si>
    <t>Moedas</t>
  </si>
  <si>
    <t>Consolidado</t>
  </si>
  <si>
    <t>Circulante</t>
  </si>
  <si>
    <t>Não circulante</t>
  </si>
  <si>
    <t>MOEDA ESTRANGEIRA</t>
  </si>
  <si>
    <t xml:space="preserve">Eurobonds </t>
  </si>
  <si>
    <t>U$$</t>
  </si>
  <si>
    <t>(-) Custos de transação</t>
  </si>
  <si>
    <t xml:space="preserve">(±) Recursos antecipados </t>
  </si>
  <si>
    <t>Dívida em moeda estrangeira</t>
  </si>
  <si>
    <t>Dívida em moeda nacional</t>
  </si>
  <si>
    <t>Total de empréstimos</t>
  </si>
  <si>
    <t>Debêntures - 3ª Emissão - 3ª Série</t>
  </si>
  <si>
    <t>IPCA + 5,10%</t>
  </si>
  <si>
    <t xml:space="preserve">Debêntures - 7ª Emissão - 1ª Série </t>
  </si>
  <si>
    <t>CDI + 0,45%</t>
  </si>
  <si>
    <t xml:space="preserve">Debêntures - 7ª Emissão - 2ª Série </t>
  </si>
  <si>
    <t>IPCA + 4,10%</t>
  </si>
  <si>
    <t xml:space="preserve">Debêntures - 8ª Emissão - 1ª Série </t>
  </si>
  <si>
    <t>CDI + 1,35%</t>
  </si>
  <si>
    <t xml:space="preserve">Debêntures - 8ª Emissão - 2ª Série </t>
  </si>
  <si>
    <t>IPCA + 6,10%</t>
  </si>
  <si>
    <t xml:space="preserve">Debêntures - 9ª Emissão - Série Única </t>
  </si>
  <si>
    <t>CDI + 2,05%</t>
  </si>
  <si>
    <t xml:space="preserve">Debêntures - 8ª emissão - Série única </t>
  </si>
  <si>
    <t>IPCA + 5,27%</t>
  </si>
  <si>
    <t xml:space="preserve">Debêntures - 9ª Emissão - 1ª Série </t>
  </si>
  <si>
    <t>CDI + 1,33%</t>
  </si>
  <si>
    <t xml:space="preserve">Debêntures - 9ª Emissão - 2ª Série </t>
  </si>
  <si>
    <t>IPCA + 7,63%</t>
  </si>
  <si>
    <t>(-) Custos de Transação</t>
  </si>
  <si>
    <t>Total de debêntures</t>
  </si>
  <si>
    <t>Total geral consolidado</t>
  </si>
  <si>
    <t>9M23</t>
  </si>
  <si>
    <t>1S23</t>
  </si>
  <si>
    <t>9M22</t>
  </si>
  <si>
    <t>1S22</t>
  </si>
  <si>
    <t>9M21</t>
  </si>
  <si>
    <t>1S21</t>
  </si>
  <si>
    <t xml:space="preserve">9M20 </t>
  </si>
  <si>
    <t>1S20</t>
  </si>
  <si>
    <t xml:space="preserve">1T20 </t>
  </si>
  <si>
    <t>9M19</t>
  </si>
  <si>
    <t>1S19</t>
  </si>
  <si>
    <t>Dívida Bruta</t>
  </si>
  <si>
    <t xml:space="preserve">Caixa e equivalentes </t>
  </si>
  <si>
    <t>TVM</t>
  </si>
  <si>
    <r>
      <t xml:space="preserve">Instrumento derivativo de hedge </t>
    </r>
    <r>
      <rPr>
        <sz val="8"/>
        <rFont val="Calibri"/>
        <family val="2"/>
        <scheme val="minor"/>
      </rPr>
      <t>(1)</t>
    </r>
  </si>
  <si>
    <t>Dívida Líquida</t>
  </si>
  <si>
    <t>(1) Valor justo</t>
  </si>
  <si>
    <t>(Em milhões de Reais)</t>
  </si>
  <si>
    <t xml:space="preserve">Descrição </t>
  </si>
  <si>
    <t>Realizado</t>
  </si>
  <si>
    <t>Geração</t>
  </si>
  <si>
    <t>Transmissão</t>
  </si>
  <si>
    <t>Distribuição</t>
  </si>
  <si>
    <t>Holding</t>
  </si>
  <si>
    <t>Gás</t>
  </si>
  <si>
    <t>Geração Distribuída</t>
  </si>
  <si>
    <t>CIRCULANTE</t>
  </si>
  <si>
    <t>Caixa e equivalentes de caixa </t>
  </si>
  <si>
    <t>Títulos e valores mobiliários </t>
  </si>
  <si>
    <t>Consumidores e revendedores e concessionários de transporte de energia </t>
  </si>
  <si>
    <t>Ativos financeiros e setoriais da concessão</t>
  </si>
  <si>
    <t>Ativos de contrato </t>
  </si>
  <si>
    <t>Tributos compensáveis  </t>
  </si>
  <si>
    <t>Imposto de renda e contribuição social a recuperar </t>
  </si>
  <si>
    <t>Instrumentos financeiros derivativos</t>
  </si>
  <si>
    <t>Dividendos a receber </t>
  </si>
  <si>
    <t>Contribuição de iluminação pública </t>
  </si>
  <si>
    <t>Reembolso subsídios tarifários </t>
  </si>
  <si>
    <t>Outros ativos </t>
  </si>
  <si>
    <t>Ativos classificados como mantidos para venda </t>
  </si>
  <si>
    <t>TOTAL DO CIRCULANTE</t>
  </si>
  <si>
    <t>NÃO CIRCULANTE</t>
  </si>
  <si>
    <t>Impostos de renda e contribuição social diferidos </t>
  </si>
  <si>
    <t xml:space="preserve">Dividendos a receber </t>
  </si>
  <si>
    <t>Depósitos vinculados a litígios  </t>
  </si>
  <si>
    <t>Instrumentos financeiros derivativos - Swap </t>
  </si>
  <si>
    <t>Contas a receber do Estado de Minas Gerais </t>
  </si>
  <si>
    <t>Investimentos </t>
  </si>
  <si>
    <t>Imobilizado </t>
  </si>
  <si>
    <t>Intangível </t>
  </si>
  <si>
    <t>Direito de uso  </t>
  </si>
  <si>
    <r>
      <t>TOTAL DO NÃO CIRCULANTE</t>
    </r>
    <r>
      <rPr>
        <sz val="7"/>
        <color rgb="FF404040"/>
        <rFont val="Calibri"/>
        <family val="2"/>
      </rPr>
      <t> </t>
    </r>
  </si>
  <si>
    <r>
      <t>TOTAL DO ATIVO</t>
    </r>
    <r>
      <rPr>
        <sz val="7"/>
        <color rgb="FF404040"/>
        <rFont val="Calibri"/>
        <family val="2"/>
      </rPr>
      <t> </t>
    </r>
  </si>
  <si>
    <t>Fornecedores </t>
  </si>
  <si>
    <t>Encargos regulatórios </t>
  </si>
  <si>
    <t>Participação dos empregados e administradores no resultado </t>
  </si>
  <si>
    <t>Impostos, taxas e contribuições </t>
  </si>
  <si>
    <t>Imposto de renda e contribuição social </t>
  </si>
  <si>
    <t>Juros sobre capital próprio e dividendos a pagar </t>
  </si>
  <si>
    <t>Empréstimos e debêntures</t>
  </si>
  <si>
    <t>Salários e contribuições sociais </t>
  </si>
  <si>
    <t>Contas a pagar relacionado a energia gerada por consumidores </t>
  </si>
  <si>
    <t>Obrigações Pós-emprego </t>
  </si>
  <si>
    <t>Passivo financeiro da concessão</t>
  </si>
  <si>
    <t>Valores a restituir a consumidores</t>
  </si>
  <si>
    <t>Instrumentos financeiros derivativos - Opções </t>
  </si>
  <si>
    <t>Passivo de arrendamento </t>
  </si>
  <si>
    <t>Outros passivos </t>
  </si>
  <si>
    <t> Passivos diretamente associados a ativos mantidos para venda</t>
  </si>
  <si>
    <r>
      <t>TOTAL DO CIRCULANTE</t>
    </r>
    <r>
      <rPr>
        <sz val="7"/>
        <color rgb="FF404040"/>
        <rFont val="Calibri"/>
        <family val="2"/>
      </rPr>
      <t> </t>
    </r>
  </si>
  <si>
    <t>Imposto de renda e contribuição social diferidos </t>
  </si>
  <si>
    <t>Provisões </t>
  </si>
  <si>
    <t>Instrumentos financeiros derivativos – opções</t>
  </si>
  <si>
    <t xml:space="preserve">- </t>
  </si>
  <si>
    <r>
      <t>TOTAL DO PASSIVO</t>
    </r>
    <r>
      <rPr>
        <sz val="7"/>
        <color rgb="FF404040"/>
        <rFont val="Calibri"/>
        <family val="2"/>
      </rPr>
      <t> </t>
    </r>
  </si>
  <si>
    <r>
      <t>PATRIMÔNIO LÍQUIDO </t>
    </r>
    <r>
      <rPr>
        <sz val="7"/>
        <color rgb="FF404040"/>
        <rFont val="Calibri"/>
        <family val="2"/>
      </rPr>
      <t> </t>
    </r>
  </si>
  <si>
    <t>Capital social </t>
  </si>
  <si>
    <t>Reservas de capital </t>
  </si>
  <si>
    <t>Reservas de lucros </t>
  </si>
  <si>
    <t>Ajustes de avaliação patrimonial </t>
  </si>
  <si>
    <t>Lucros (prejuízos) acumulados </t>
  </si>
  <si>
    <r>
      <t>ATRIBUÍDO A PARTICIPAÇÃO DOS ACIONISTAS CONTROLADORES</t>
    </r>
    <r>
      <rPr>
        <sz val="7"/>
        <color rgb="FF404040"/>
        <rFont val="Calibri"/>
        <family val="2"/>
      </rPr>
      <t> </t>
    </r>
  </si>
  <si>
    <t>Participação de acionista não-controlador </t>
  </si>
  <si>
    <r>
      <t>PATRIMÔNIO LÍQUIDO</t>
    </r>
    <r>
      <rPr>
        <sz val="7"/>
        <color rgb="FF404040"/>
        <rFont val="Calibri"/>
        <family val="2"/>
      </rPr>
      <t> </t>
    </r>
  </si>
  <si>
    <r>
      <t>TOTAL DO PASSIVO E DO PATRIMÔNIO LÍQUIDO</t>
    </r>
    <r>
      <rPr>
        <sz val="7"/>
        <color rgb="FF404040"/>
        <rFont val="Calibri"/>
        <family val="2"/>
      </rPr>
      <t> </t>
    </r>
  </si>
  <si>
    <t xml:space="preserve">  HISTÓRICO LAJIDA CVM</t>
  </si>
  <si>
    <t>Comercialização</t>
  </si>
  <si>
    <t>Holding / Participações</t>
  </si>
  <si>
    <t>Resultado do período</t>
  </si>
  <si>
    <t xml:space="preserve">Despesa de imposto de renda e contribuição social </t>
  </si>
  <si>
    <t>Resultado financeiro</t>
  </si>
  <si>
    <t>Efeitos não recorrentes e não caixa</t>
  </si>
  <si>
    <t>Lucro líquido atribuído a acionistas não-controladores</t>
  </si>
  <si>
    <t>Lajida conforme “Resolução CVM 156”</t>
  </si>
  <si>
    <t>Ganho na alienação de ativo mantido para venda</t>
  </si>
  <si>
    <t>Lajida ajustado</t>
  </si>
  <si>
    <t/>
  </si>
  <si>
    <t>(Em milhares de Reais, exceto resultado por ação)</t>
  </si>
  <si>
    <t>RECEITA LÍQUIDA</t>
  </si>
  <si>
    <t>Custos com energia elétrica e gás</t>
  </si>
  <si>
    <t>Custos de operação</t>
  </si>
  <si>
    <t>LUCRO BRUTO</t>
  </si>
  <si>
    <t>Despesas gerais e administrativas</t>
  </si>
  <si>
    <t>Receitas – Revisão Tarifaria Periódica, líquidas</t>
  </si>
  <si>
    <t>Ganhos com repactuação do risco hidrológico - Lei 14.052/20, líquido</t>
  </si>
  <si>
    <t>Ganho na alienação de ativo mantido para venda, líquido</t>
  </si>
  <si>
    <t>Ganho por compra vantajosa</t>
  </si>
  <si>
    <t>Resultado de combinação de negócios</t>
  </si>
  <si>
    <t>Redução ao valor recuperável de ativos mantidos para venda</t>
  </si>
  <si>
    <t>Dividendos declarados por investida classificada como ativo não circulante mantido para venda</t>
  </si>
  <si>
    <t>Resultado de equivalência patrimonial</t>
  </si>
  <si>
    <t>Resultado operacional antes do resultado financeiro e dos tributos sobre o lucro</t>
  </si>
  <si>
    <t>Receitas financeiras</t>
  </si>
  <si>
    <t>Despesas financeiras</t>
  </si>
  <si>
    <t>Resultado Financeiro</t>
  </si>
  <si>
    <t>Resultado antes do imposto de renda e da contribuição social</t>
  </si>
  <si>
    <t>Imposto de renda e contribuição social</t>
  </si>
  <si>
    <t>Imposto de renda e contribuição social diferidos</t>
  </si>
  <si>
    <t>Lucro líquido do exercício proveniente de operações em continuidade</t>
  </si>
  <si>
    <t>OPERAÇÕES DESCONTINUADAS</t>
  </si>
  <si>
    <t>Lucro líquido do exercício proveniente de operações descontinuadas</t>
  </si>
  <si>
    <t>LUCRO LÍQUIDO DO PERÍODO</t>
  </si>
  <si>
    <t>Total do lucro líquido do período atribuído a:</t>
  </si>
  <si>
    <t>Participação dos acionistas controladores</t>
  </si>
  <si>
    <t>Lucro líquido do exercício atribuível aos acionistas controladores</t>
  </si>
  <si>
    <t>Participação dos acionistas não-controladores</t>
  </si>
  <si>
    <t>Lucro básico e diluído por ação preferencial</t>
  </si>
  <si>
    <t>Lucro básico e diluído por ação ordinária</t>
  </si>
  <si>
    <t>FLUXO DE CAIXA DAS ATIVIDADES OPERACIONAIS</t>
  </si>
  <si>
    <t>AJUSTES:</t>
  </si>
  <si>
    <t>Baixa de valor residual líquido de ativos de contrato, ativos financeiros da concessão, imobilizado e intangível</t>
  </si>
  <si>
    <t>Ajuste de valor justo de ativo financeiro</t>
  </si>
  <si>
    <t>Perda por redução ao valor recuperável de ativos de contrato e intangível</t>
  </si>
  <si>
    <t>Ajuste de ativos em curso</t>
  </si>
  <si>
    <t>Ágio na recompra de eurobonds</t>
  </si>
  <si>
    <t>Dividendos declarados por investida classificada como mantida para venda</t>
  </si>
  <si>
    <t>Ajuste na expectativa do fluxo de caixa dos ativos financeiros e de contrato da concessão</t>
  </si>
  <si>
    <t>Efeitos da revisão tarifária periódica da RAP</t>
  </si>
  <si>
    <t>Juros e variações monetárias</t>
  </si>
  <si>
    <t>Variação cambial de empréstimos</t>
  </si>
  <si>
    <t>Reconhecimento de créditos extemporâneos de PIS/Pasep e Cofins s/ICMS</t>
  </si>
  <si>
    <t>Restituição de créditos de PIS/Pasep e Cofins aos consumidores – Realização</t>
  </si>
  <si>
    <t>Amortização de custos de transação de empréstimos</t>
  </si>
  <si>
    <t xml:space="preserve">Provisões </t>
  </si>
  <si>
    <t>Variação do valor justo de instrumentos financeiros derivativos – swap e opções</t>
  </si>
  <si>
    <t>Conta de compensação de variação de valores de itens da “Parcela A” (CVA) e outros componentes financeiros</t>
  </si>
  <si>
    <t>Outros</t>
  </si>
  <si>
    <t>(Aumento) redução de ativos</t>
  </si>
  <si>
    <t>Consumidores, revendedores e concessionários de energia</t>
  </si>
  <si>
    <t>Conta de compensação de variação de valores de itens da "Parcela A" (CVA) e outros componentes financeiros</t>
  </si>
  <si>
    <t>Tributos compensáveis</t>
  </si>
  <si>
    <t>Imposto de renda e contribuição social a recuperar</t>
  </si>
  <si>
    <t>Depósitos vinculados a litígios</t>
  </si>
  <si>
    <t>Ativos de contrato e financeiros da concessão</t>
  </si>
  <si>
    <t>Adiantamento a fornecedores</t>
  </si>
  <si>
    <t>Aumento (redução) de passivos</t>
  </si>
  <si>
    <t>Fornecedores</t>
  </si>
  <si>
    <t>Impostos, taxas e contribuições</t>
  </si>
  <si>
    <t>Imposto de renda e contribuição social a pagar</t>
  </si>
  <si>
    <t>Salários e contribuições sociais</t>
  </si>
  <si>
    <t>Encargos regulatórios</t>
  </si>
  <si>
    <t>Adiantamento de clientes</t>
  </si>
  <si>
    <t>PIS/Pasep e Cofins a ser restituído a consumidores</t>
  </si>
  <si>
    <t>Juros sobre empréstimos e debêntures pagos</t>
  </si>
  <si>
    <t>Juros sobre arrendamentos pagos</t>
  </si>
  <si>
    <t>Imposto de renda e contribuição social pagos</t>
  </si>
  <si>
    <t>Caixa líquido das atividades operacionais em continuidade</t>
  </si>
  <si>
    <t>Caixa líquido das atividades operacionais descontinuadas</t>
  </si>
  <si>
    <t>CAIXA LÍQUIDO GERADO (CONSUMIDO) PELAS ATIVIDADES OPERACIONAIS</t>
  </si>
  <si>
    <t>FLUXO DE CAIXA DAS ATIVIDADES DE INVESTIMENTO</t>
  </si>
  <si>
    <t>Fundos vinculados</t>
  </si>
  <si>
    <t>Aquisição de participação societária e aporte em investidas</t>
  </si>
  <si>
    <t>Liquidação opção de venda</t>
  </si>
  <si>
    <t>Caixa oriundo de combinação de negócios</t>
  </si>
  <si>
    <t>Mútuo com partes relacionadas</t>
  </si>
  <si>
    <t>Em imobilizado</t>
  </si>
  <si>
    <t>Em intangível</t>
  </si>
  <si>
    <t>Em ativos de contrato – Infraestrutura de distribuição e gás</t>
  </si>
  <si>
    <t>Caixa líquido das atividades de investimento das operações em continuidade</t>
  </si>
  <si>
    <t>Caixa líquido das atividades de investimento das operações descontinuadas</t>
  </si>
  <si>
    <t>CAIXA LÍQUIDO GERADO (CONSUMIDO) PELAS ATIVIDADES DE INVESTIMENTO</t>
  </si>
  <si>
    <t>FLUXO DE CAIXA DAS ATIVIDADES DE FINANCIAMENTO</t>
  </si>
  <si>
    <t xml:space="preserve">Juros sobre capital próprio e dividendos pagos </t>
  </si>
  <si>
    <t>Arrendamentos pagos</t>
  </si>
  <si>
    <t>CAIXA LÍQUIDO CONSUMIDO PELAS ATIVIDADES DE FINANCIAMENTO</t>
  </si>
  <si>
    <t>VARIAÇÃO LÍQUIDA DO CAIXA E EQUIVALENTES DE CAIXA</t>
  </si>
  <si>
    <t>Caixa e equivalentes de caixa no início do período</t>
  </si>
  <si>
    <t>Caixa e equivalentes de caixa no final do período</t>
  </si>
  <si>
    <t>Denominação</t>
  </si>
  <si>
    <t>Var %</t>
  </si>
  <si>
    <r>
      <t xml:space="preserve">Cotação das ações </t>
    </r>
    <r>
      <rPr>
        <b/>
        <vertAlign val="superscript"/>
        <sz val="10"/>
        <color rgb="FF375623"/>
        <rFont val="Arial"/>
        <family val="2"/>
      </rPr>
      <t>(2)</t>
    </r>
  </si>
  <si>
    <t>CMIG4 (PN) no fechamento (R$/ação)</t>
  </si>
  <si>
    <t>CMIG3 (ON) no fechamento (R$/ação)</t>
  </si>
  <si>
    <t>CIG (ADR PN) no fechamento (US$/ação)</t>
  </si>
  <si>
    <t>CIG.C (ADR ON) no fechamento (US$/ação)</t>
  </si>
  <si>
    <t>XCMIG (Cemig PN Latibex) no fechamento (Euro/ação)</t>
  </si>
  <si>
    <t>Volume médio diário</t>
  </si>
  <si>
    <t>CMIG4 (PN) (R$ milhões)</t>
  </si>
  <si>
    <t>CMIG3 (ON) (R$ milhões)</t>
  </si>
  <si>
    <t>CIG (ADR PN)  (US$ milhões)</t>
  </si>
  <si>
    <t>CIG.C (ADR ON)  (US$ milhões)</t>
  </si>
  <si>
    <t>Índices</t>
  </si>
  <si>
    <t>IEE</t>
  </si>
  <si>
    <t>IBOV</t>
  </si>
  <si>
    <t>DJIA</t>
  </si>
  <si>
    <t>Indicadores</t>
  </si>
  <si>
    <t>Valor de mercado no final do exercício (R$ milhões)</t>
  </si>
  <si>
    <r>
      <t xml:space="preserve">Enterprise value (EV - R$ milhões) </t>
    </r>
    <r>
      <rPr>
        <vertAlign val="superscript"/>
        <sz val="10"/>
        <color rgb="FF000000"/>
        <rFont val="Arial"/>
        <family val="2"/>
      </rPr>
      <t xml:space="preserve">(1) </t>
    </r>
  </si>
  <si>
    <r>
      <t xml:space="preserve">Dividend Yield de CMIG4 (PN) (%)  </t>
    </r>
    <r>
      <rPr>
        <vertAlign val="superscript"/>
        <sz val="10"/>
        <color rgb="FF000000"/>
        <rFont val="Arial"/>
        <family val="2"/>
      </rPr>
      <t>(3)</t>
    </r>
  </si>
  <si>
    <r>
      <t xml:space="preserve">Dividend Yield de CMIG3 (ON) (%) </t>
    </r>
    <r>
      <rPr>
        <vertAlign val="superscript"/>
        <sz val="10"/>
        <color rgb="FF000000"/>
        <rFont val="Arial"/>
        <family val="2"/>
      </rPr>
      <t xml:space="preserve"> (3)</t>
    </r>
  </si>
  <si>
    <t>(1) EV = Valor de mercado (R$/ação x quantidade de ações) + dívida líquida consolidada;</t>
  </si>
  <si>
    <t>(2) Cotações ajustadas por proventos, inclusive dividendos</t>
  </si>
  <si>
    <t>(3) Dividendos distribuídos nos últimos quatro trimestres / cotação de fechamento das ações</t>
  </si>
  <si>
    <t xml:space="preserve">CUSTOS </t>
  </si>
  <si>
    <t xml:space="preserve">DESPESAS </t>
  </si>
  <si>
    <t>Outras despesas, líquidas</t>
  </si>
  <si>
    <t>Ajuste a valor justo de investimentos</t>
  </si>
  <si>
    <t>Lucro líquido do exercício</t>
  </si>
  <si>
    <t>Impostos de renda e contribuição social corrente e diferido</t>
  </si>
  <si>
    <t>Dividendos e JCP recebidos</t>
  </si>
  <si>
    <t>Contas a pagar relacionado a energia gerada por consumidores</t>
  </si>
  <si>
    <t xml:space="preserve">Caixa gerado pelas atividades operacionais </t>
  </si>
  <si>
    <t>Juros recebidos</t>
  </si>
  <si>
    <t>Liquidação de instrumentos financeiros derivativos</t>
  </si>
  <si>
    <t>Aplicações em títulos e valores mobiliários</t>
  </si>
  <si>
    <t>Pagamentos de empréstimos e debêntures</t>
  </si>
  <si>
    <t>Obtenção de empréstimos, financiamentos e debêntures, líquidos</t>
  </si>
  <si>
    <t>Sá Carvalho</t>
  </si>
  <si>
    <t>Rosal Energia</t>
  </si>
  <si>
    <t xml:space="preserve">CEMIG PCH </t>
  </si>
  <si>
    <t xml:space="preserve">Paracambi Energética </t>
  </si>
  <si>
    <t>Trimestre</t>
  </si>
  <si>
    <t>4T23</t>
  </si>
  <si>
    <t>Resgates de títulos e valores mobiliários</t>
  </si>
  <si>
    <t>Contribuições pagas de pós-emprego</t>
  </si>
  <si>
    <t>Realizável a longo prazo</t>
  </si>
  <si>
    <t>RECURSOS TOTAIS</t>
  </si>
  <si>
    <t>(1)       O preço médio não inclui a receita de fornecimento e suprimento não faturado e o consumo próprio.</t>
  </si>
  <si>
    <t>Alienação de investimentos</t>
  </si>
  <si>
    <t>Jequitibá II</t>
  </si>
  <si>
    <t>1T24</t>
  </si>
  <si>
    <t>Perdas Totais</t>
  </si>
  <si>
    <t xml:space="preserve">* Perdas Totais (GWh) - média móvel de 12 meses </t>
  </si>
  <si>
    <t>Receita de construção e melhoria</t>
  </si>
  <si>
    <t>CDI + 0,80%</t>
  </si>
  <si>
    <t xml:space="preserve">Debêntures - 10ª emissão - 1ª série </t>
  </si>
  <si>
    <t xml:space="preserve">Debêntures - 10ª emissão - 2ª série </t>
  </si>
  <si>
    <t>(-) Desconto</t>
  </si>
  <si>
    <t xml:space="preserve"> -   </t>
  </si>
  <si>
    <t>Redução de capital social em investida</t>
  </si>
  <si>
    <t>Alienação de ativos</t>
  </si>
  <si>
    <t>Ganho na alienação de imobilizado</t>
  </si>
  <si>
    <t xml:space="preserve">(-) Deságio na emissão de debêntures </t>
  </si>
  <si>
    <t>Ganho na alienação de ativos</t>
  </si>
  <si>
    <t>1S24</t>
  </si>
  <si>
    <t>2T24</t>
  </si>
  <si>
    <t xml:space="preserve">Atualização crédito IRPJ sobre PAT </t>
  </si>
  <si>
    <t>Atualização estimada de creditos de GD, líquida</t>
  </si>
  <si>
    <t>Reversão de valores a restituir a consumidores</t>
  </si>
  <si>
    <t>REH - RESOLUÇÃO HOMOLOGATÓRIA 3.348/2024 (ciclo 2024/2025)</t>
  </si>
  <si>
    <t>R$ mil</t>
  </si>
  <si>
    <t xml:space="preserve"> RAP</t>
  </si>
  <si>
    <t>Parcela de Ajuste</t>
  </si>
  <si>
    <t>TOTAL RAP</t>
  </si>
  <si>
    <t>Vencimento</t>
  </si>
  <si>
    <r>
      <t xml:space="preserve">Taesa </t>
    </r>
    <r>
      <rPr>
        <b/>
        <sz val="8"/>
        <rFont val="Arial"/>
        <family val="2"/>
      </rPr>
      <t>(21,68% participação Cemig)</t>
    </r>
  </si>
  <si>
    <t>2020-2021</t>
  </si>
  <si>
    <t>2021-2022</t>
  </si>
  <si>
    <t>2024-2025 ¹</t>
  </si>
  <si>
    <t>2025-2026 até 2027-2028</t>
  </si>
  <si>
    <t>2028-2029 até 2032-2033</t>
  </si>
  <si>
    <t xml:space="preserve">                   -   </t>
  </si>
  <si>
    <t>*Os valores da indenização RBSE fazem parte da RAP Cemig (primeira tabela)</t>
  </si>
  <si>
    <t>1) 2024-2025 Inclui PA Postergação da Revisão 2023</t>
  </si>
  <si>
    <t>INDENIZAÇÃO RBSE*</t>
  </si>
  <si>
    <t>Inexistente</t>
  </si>
  <si>
    <t>23.993 GWh</t>
  </si>
  <si>
    <t>Compreende o balanço de energia do grupo Cemig , empresas integrais : Cemig  D, Cemig GT, CEMIG Holding, Cemig PCH, Horizontes, Rosal, Sá Carvalho, Trading, e SPE's. Exclui transações entre as empresas .</t>
  </si>
  <si>
    <t>IPCA + 6,15%</t>
  </si>
  <si>
    <t>Lajida - 2T24 - R$ milhares</t>
  </si>
  <si>
    <t>Lajida - 2T23 - R$ milhares</t>
  </si>
  <si>
    <t>Constituição de provisões cíveis - Compra e venda de energia</t>
  </si>
  <si>
    <t>Reversão de provisões tributárias - INSS s/ PLR</t>
  </si>
  <si>
    <t>Programa de desligamento voluntário</t>
  </si>
  <si>
    <t>-0,32 p.p</t>
  </si>
  <si>
    <t>8,84</t>
  </si>
  <si>
    <t>0,31 p.p</t>
  </si>
  <si>
    <t>Jequitibá I</t>
  </si>
  <si>
    <t xml:space="preserve">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</si>
</sst>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_);_(* \(#,##0\);_(* &quot;-&quot;??_);_(@_)"/>
    <numFmt numFmtId="165" formatCode="[$-416]d\-mmm\-yy;@"/>
    <numFmt numFmtId="166" formatCode="_-* #,##0.0_-;\-* #,##0.0_-;_-* &quot;-&quot;??_-;_-@_-"/>
    <numFmt numFmtId="167" formatCode="0.0%"/>
    <numFmt numFmtId="168" formatCode="_-* #,##0.00_-;\(#,##0.00\);_-* &quot;-&quot;??_-;_-@_-"/>
    <numFmt numFmtId="169" formatCode="_-* #,##0_-;\(#,##0\);_-* &quot;-&quot;??_-;_-@_-"/>
    <numFmt numFmtId="170" formatCode="_-* #,##0_-;\-* #,##0_-;_-* &quot;-&quot;??_-;_-@_-"/>
    <numFmt numFmtId="171" formatCode="[$-416]mmm\-yy;@"/>
  </numFmts>
  <fonts count="7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rgb="FF00744D"/>
      <name val="Calibri"/>
      <family val="2"/>
      <scheme val="minor"/>
    </font>
    <font>
      <sz val="11"/>
      <color theme="1"/>
      <name val="Arial"/>
      <family val="2"/>
    </font>
    <font>
      <b/>
      <sz val="14"/>
      <color rgb="FF00744D"/>
      <name val="Arial"/>
      <family val="2"/>
    </font>
    <font>
      <b/>
      <sz val="12"/>
      <color theme="0"/>
      <name val="Arial"/>
      <family val="2"/>
    </font>
    <font>
      <b/>
      <sz val="10"/>
      <color theme="0"/>
      <name val="Arial"/>
      <family val="2"/>
    </font>
    <font>
      <b/>
      <sz val="12"/>
      <color rgb="FFFFFFFF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FFFF"/>
      <name val="Calibri"/>
      <family val="2"/>
    </font>
    <font>
      <sz val="10"/>
      <color theme="1"/>
      <name val="Calibri"/>
      <family val="2"/>
      <scheme val="minor"/>
    </font>
    <font>
      <b/>
      <sz val="10"/>
      <color rgb="FF00744D"/>
      <name val="Calibri"/>
      <family val="2"/>
    </font>
    <font>
      <sz val="12"/>
      <color theme="1"/>
      <name val="Arial"/>
      <family val="2"/>
    </font>
    <font>
      <b/>
      <sz val="10"/>
      <color rgb="FF00744D"/>
      <name val="Arial"/>
      <family val="2"/>
    </font>
    <font>
      <b/>
      <sz val="10"/>
      <color rgb="FFFFFFFF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.5"/>
      <color theme="1"/>
      <name val="Calibri"/>
      <family val="2"/>
    </font>
    <font>
      <sz val="7.5"/>
      <color rgb="FF404040"/>
      <name val="Calibri"/>
      <family val="2"/>
    </font>
    <font>
      <b/>
      <sz val="10"/>
      <color rgb="FF404040"/>
      <name val="Arial"/>
      <family val="2"/>
    </font>
    <font>
      <sz val="10"/>
      <color rgb="FF404040"/>
      <name val="Arial"/>
      <family val="2"/>
    </font>
    <font>
      <sz val="10"/>
      <color theme="1" tint="0.249977111117893"/>
      <name val="Arial"/>
      <family val="2"/>
    </font>
    <font>
      <b/>
      <sz val="11"/>
      <color rgb="FFFFFFFF"/>
      <name val="Arial"/>
      <family val="2"/>
    </font>
    <font>
      <b/>
      <sz val="14"/>
      <color rgb="FF00744D"/>
      <name val="Calibri"/>
      <family val="2"/>
    </font>
    <font>
      <b/>
      <sz val="10"/>
      <color theme="1" tint="0.249977111117893"/>
      <name val="Arial"/>
      <family val="2"/>
    </font>
    <font>
      <sz val="12"/>
      <color rgb="FF404040"/>
      <name val="Arial"/>
      <family val="2"/>
    </font>
    <font>
      <sz val="11"/>
      <color rgb="FFFFFFFF"/>
      <name val="Arial"/>
      <family val="2"/>
    </font>
    <font>
      <sz val="7"/>
      <color rgb="FF000000"/>
      <name val="Calibri"/>
      <family val="2"/>
    </font>
    <font>
      <b/>
      <sz val="10"/>
      <color rgb="FF0000FF"/>
      <name val="Arial"/>
      <family val="2"/>
    </font>
    <font>
      <b/>
      <sz val="10"/>
      <color rgb="FF0000E1"/>
      <name val="Arial"/>
      <family val="2"/>
    </font>
    <font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b/>
      <sz val="10"/>
      <color rgb="FF375623"/>
      <name val="Arial"/>
      <family val="2"/>
    </font>
    <font>
      <b/>
      <vertAlign val="superscript"/>
      <sz val="10"/>
      <color rgb="FF375623"/>
      <name val="Arial"/>
      <family val="2"/>
    </font>
    <font>
      <sz val="7"/>
      <color rgb="FF40404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7"/>
      <color rgb="FF404040"/>
      <name val="Calibri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6.5"/>
      <color rgb="FFFFFFFF"/>
      <name val="Calibri"/>
      <family val="2"/>
    </font>
    <font>
      <b/>
      <sz val="7"/>
      <color rgb="FF404040"/>
      <name val="Calibri"/>
      <family val="2"/>
    </font>
    <font>
      <b/>
      <sz val="9"/>
      <color rgb="FF595959"/>
      <name val="Arial"/>
      <family val="2"/>
    </font>
    <font>
      <sz val="12"/>
      <color rgb="FFFF0000"/>
      <name val="Calibri"/>
      <family val="2"/>
      <scheme val="minor"/>
    </font>
    <font>
      <sz val="11"/>
      <color rgb="FFFF0000"/>
      <name val="Arial"/>
      <family val="2"/>
    </font>
    <font>
      <sz val="11"/>
      <color theme="0"/>
      <name val="Calibri"/>
      <family val="2"/>
      <scheme val="minor"/>
    </font>
    <font>
      <sz val="11"/>
      <color theme="0"/>
      <name val="Arial"/>
      <family val="2"/>
    </font>
    <font>
      <sz val="8"/>
      <color rgb="FF595959"/>
      <name val="Arial"/>
      <family val="2"/>
    </font>
    <font>
      <sz val="8"/>
      <name val="Arial"/>
      <family val="2"/>
    </font>
    <font>
      <sz val="7"/>
      <color rgb="FFFFFFFF"/>
      <name val="Calibri"/>
      <family val="2"/>
    </font>
    <font>
      <sz val="9"/>
      <color rgb="FF595959"/>
      <name val="Arial"/>
      <family val="2"/>
    </font>
    <font>
      <sz val="9"/>
      <color rgb="FF404040"/>
      <name val="Arial"/>
      <family val="2"/>
    </font>
    <font>
      <sz val="9"/>
      <color rgb="FF3F3F3F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rgb="FF595959"/>
      <name val="Arial"/>
      <family val="2"/>
    </font>
    <font>
      <sz val="10"/>
      <color rgb="FF404040"/>
      <name val="Calibri"/>
      <family val="2"/>
      <scheme val="minor"/>
    </font>
    <font>
      <b/>
      <sz val="7"/>
      <color rgb="FF404040"/>
      <name val="Calibri"/>
      <family val="2"/>
      <scheme val="minor"/>
    </font>
    <font>
      <b/>
      <sz val="10"/>
      <color rgb="FF00744D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0"/>
      <color rgb="FF404040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rgb="FFFFFFFF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6"/>
      <color rgb="FF00744D"/>
      <name val="Arial"/>
      <family val="2"/>
    </font>
    <font>
      <b/>
      <sz val="14"/>
      <color rgb="FFFF0000"/>
      <name val="Calibri"/>
      <family val="2"/>
    </font>
    <font>
      <b/>
      <sz val="14"/>
      <color rgb="FF000000"/>
      <name val="Times New Roman"/>
      <family val="1"/>
    </font>
    <font>
      <b/>
      <sz val="18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8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8228"/>
        <bgColor indexed="64"/>
      </patternFill>
    </fill>
    <fill>
      <patternFill patternType="solid">
        <fgColor rgb="FF46D2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008228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D9D9D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89">
    <border>
      <left/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ck">
        <color rgb="FFFFFFFF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ck">
        <color rgb="FFFFFFFF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double">
        <color indexed="64"/>
      </bottom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 style="medium">
        <color rgb="FF375623"/>
      </top>
      <bottom style="medium">
        <color rgb="FF375623"/>
      </bottom>
      <diagonal/>
    </border>
    <border>
      <left/>
      <right/>
      <top/>
      <bottom style="medium">
        <color rgb="FFA9D08E"/>
      </bottom>
      <diagonal/>
    </border>
    <border>
      <left style="double">
        <color rgb="FF006600"/>
      </left>
      <right/>
      <top style="double">
        <color rgb="FF006600"/>
      </top>
      <bottom/>
      <diagonal/>
    </border>
    <border>
      <left/>
      <right style="double">
        <color rgb="FF006600"/>
      </right>
      <top style="double">
        <color rgb="FF006600"/>
      </top>
      <bottom/>
      <diagonal/>
    </border>
    <border>
      <left style="double">
        <color rgb="FF006600"/>
      </left>
      <right/>
      <top/>
      <bottom/>
      <diagonal/>
    </border>
    <border>
      <left/>
      <right style="double">
        <color rgb="FF006600"/>
      </right>
      <top/>
      <bottom/>
      <diagonal/>
    </border>
    <border>
      <left style="double">
        <color rgb="FF006600"/>
      </left>
      <right/>
      <top/>
      <bottom style="double">
        <color rgb="FF006600"/>
      </bottom>
      <diagonal/>
    </border>
    <border>
      <left/>
      <right style="double">
        <color rgb="FF006600"/>
      </right>
      <top/>
      <bottom style="double">
        <color rgb="FF006600"/>
      </bottom>
      <diagonal/>
    </border>
    <border>
      <left style="thin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medium">
        <color theme="0"/>
      </left>
      <right style="medium">
        <color theme="0"/>
      </right>
      <top style="thin">
        <color auto="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 style="thin">
        <color rgb="FFFFFFFF"/>
      </right>
      <top style="thin">
        <color indexed="64"/>
      </top>
      <bottom/>
      <diagonal/>
    </border>
    <border>
      <left style="thin">
        <color rgb="FFFFFFFF"/>
      </left>
      <right/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 style="thin">
        <color rgb="FFFFFFFF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auto="1"/>
      </top>
      <bottom/>
      <diagonal/>
    </border>
    <border>
      <left/>
      <right style="thin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/>
      <top/>
      <bottom style="thin">
        <color indexed="64"/>
      </bottom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 style="double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/>
      <top style="thin">
        <color rgb="FFFFFFFF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E7E6E6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double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/>
      <bottom style="thin">
        <color indexed="64"/>
      </bottom>
      <diagonal/>
    </border>
    <border>
      <left style="medium">
        <color theme="0"/>
      </left>
      <right/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 style="thin">
        <color auto="1"/>
      </top>
      <bottom/>
      <diagonal/>
    </border>
    <border>
      <left style="thick">
        <color rgb="FFFFFFFF"/>
      </left>
      <right style="thick">
        <color rgb="FFFFFFFF"/>
      </right>
      <top style="thin">
        <color indexed="64"/>
      </top>
      <bottom style="double">
        <color indexed="64"/>
      </bottom>
      <diagonal/>
    </border>
    <border>
      <left/>
      <right style="thick">
        <color rgb="FFFFFFFF"/>
      </right>
      <top style="thin">
        <color indexed="64"/>
      </top>
      <bottom style="double">
        <color indexed="64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/>
      <top/>
      <bottom style="thin">
        <color rgb="FF006C21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indexed="64"/>
      </top>
      <bottom style="double">
        <color indexed="64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ck">
        <color rgb="FFFFFFFF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medium">
        <color indexed="64"/>
      </top>
      <bottom style="double">
        <color indexed="64"/>
      </bottom>
      <diagonal/>
    </border>
  </borders>
  <cellStyleXfs count="13">
    <xf numFmtId="0" fontId="0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8" fillId="0" borderId="0"/>
    <xf numFmtId="43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2" fillId="2" borderId="0" applyFont="0" applyBorder="0" applyAlignment="0">
      <alignment vertical="center" wrapText="1"/>
    </xf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8" fillId="0" borderId="0"/>
    <xf numFmtId="43" fontId="2" fillId="0" borderId="0" applyFont="0" applyFill="0" applyBorder="0" applyAlignment="0" applyProtection="0"/>
    <xf numFmtId="43" fontId="18" fillId="0" borderId="0" applyFont="0" applyFill="0" applyBorder="0" applyAlignment="0" applyProtection="0"/>
  </cellStyleXfs>
  <cellXfs count="405">
    <xf numFmtId="0" fontId="0" fillId="0" borderId="0" xfId="0"/>
    <xf numFmtId="0" fontId="1" fillId="3" borderId="0" xfId="0" applyFont="1" applyFill="1"/>
    <xf numFmtId="0" fontId="4" fillId="0" borderId="0" xfId="0" applyFont="1"/>
    <xf numFmtId="164" fontId="4" fillId="0" borderId="0" xfId="1" applyNumberFormat="1" applyFont="1"/>
    <xf numFmtId="10" fontId="4" fillId="0" borderId="0" xfId="2" applyNumberFormat="1" applyFont="1"/>
    <xf numFmtId="0" fontId="4" fillId="4" borderId="0" xfId="0" applyFont="1" applyFill="1"/>
    <xf numFmtId="0" fontId="9" fillId="0" borderId="0" xfId="0" applyFont="1" applyAlignment="1">
      <alignment horizontal="center"/>
    </xf>
    <xf numFmtId="165" fontId="9" fillId="0" borderId="0" xfId="0" applyNumberFormat="1" applyFont="1" applyAlignment="1">
      <alignment horizontal="center"/>
    </xf>
    <xf numFmtId="166" fontId="9" fillId="0" borderId="0" xfId="1" applyNumberFormat="1" applyFont="1" applyAlignment="1">
      <alignment horizontal="center"/>
    </xf>
    <xf numFmtId="10" fontId="10" fillId="0" borderId="0" xfId="2" applyNumberFormat="1" applyFont="1" applyAlignment="1">
      <alignment horizontal="center"/>
    </xf>
    <xf numFmtId="43" fontId="9" fillId="0" borderId="0" xfId="1" applyFont="1" applyAlignment="1">
      <alignment horizontal="center"/>
    </xf>
    <xf numFmtId="43" fontId="10" fillId="0" borderId="0" xfId="1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8" fillId="0" borderId="0" xfId="3"/>
    <xf numFmtId="164" fontId="18" fillId="0" borderId="0" xfId="3" applyNumberFormat="1"/>
    <xf numFmtId="164" fontId="0" fillId="0" borderId="0" xfId="4" applyNumberFormat="1" applyFont="1" applyFill="1"/>
    <xf numFmtId="167" fontId="0" fillId="0" borderId="0" xfId="5" applyNumberFormat="1" applyFont="1" applyFill="1"/>
    <xf numFmtId="164" fontId="0" fillId="0" borderId="0" xfId="4" applyNumberFormat="1" applyFont="1"/>
    <xf numFmtId="3" fontId="0" fillId="0" borderId="0" xfId="0" applyNumberFormat="1"/>
    <xf numFmtId="0" fontId="21" fillId="0" borderId="0" xfId="0" applyFont="1" applyAlignment="1">
      <alignment horizontal="left" vertical="center" indent="3"/>
    </xf>
    <xf numFmtId="0" fontId="23" fillId="2" borderId="0" xfId="0" applyFont="1" applyFill="1" applyAlignment="1">
      <alignment vertical="center" wrapText="1"/>
    </xf>
    <xf numFmtId="0" fontId="23" fillId="7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169" fontId="23" fillId="2" borderId="2" xfId="0" applyNumberFormat="1" applyFont="1" applyFill="1" applyBorder="1" applyAlignment="1">
      <alignment horizontal="right" vertical="center" wrapText="1"/>
    </xf>
    <xf numFmtId="169" fontId="23" fillId="7" borderId="2" xfId="0" applyNumberFormat="1" applyFont="1" applyFill="1" applyBorder="1" applyAlignment="1">
      <alignment horizontal="right" vertical="center" wrapText="1"/>
    </xf>
    <xf numFmtId="169" fontId="22" fillId="2" borderId="2" xfId="0" applyNumberFormat="1" applyFont="1" applyFill="1" applyBorder="1" applyAlignment="1">
      <alignment horizontal="right" vertical="center" wrapText="1"/>
    </xf>
    <xf numFmtId="0" fontId="9" fillId="0" borderId="0" xfId="0" applyFont="1"/>
    <xf numFmtId="0" fontId="9" fillId="0" borderId="0" xfId="0" applyFont="1" applyAlignment="1">
      <alignment horizontal="center" vertical="center"/>
    </xf>
    <xf numFmtId="14" fontId="0" fillId="0" borderId="0" xfId="0" applyNumberFormat="1"/>
    <xf numFmtId="0" fontId="12" fillId="0" borderId="0" xfId="0" applyFont="1"/>
    <xf numFmtId="0" fontId="0" fillId="0" borderId="0" xfId="0" applyAlignment="1">
      <alignment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7" fillId="6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27" fillId="2" borderId="0" xfId="0" applyFont="1" applyFill="1" applyAlignment="1">
      <alignment vertical="center" wrapText="1"/>
    </xf>
    <xf numFmtId="0" fontId="23" fillId="2" borderId="2" xfId="0" applyFont="1" applyFill="1" applyBorder="1" applyAlignment="1">
      <alignment vertical="center" wrapText="1"/>
    </xf>
    <xf numFmtId="0" fontId="0" fillId="4" borderId="0" xfId="0" applyFill="1"/>
    <xf numFmtId="3" fontId="0" fillId="4" borderId="0" xfId="0" applyNumberFormat="1" applyFill="1"/>
    <xf numFmtId="0" fontId="23" fillId="7" borderId="0" xfId="0" applyFont="1" applyFill="1" applyAlignment="1">
      <alignment horizontal="left" vertical="center" wrapText="1" indent="2"/>
    </xf>
    <xf numFmtId="0" fontId="7" fillId="6" borderId="0" xfId="0" applyFont="1" applyFill="1" applyAlignment="1">
      <alignment horizontal="left" vertical="center" wrapText="1"/>
    </xf>
    <xf numFmtId="0" fontId="25" fillId="5" borderId="7" xfId="0" applyFont="1" applyFill="1" applyBorder="1" applyAlignment="1">
      <alignment horizontal="center" vertical="center" wrapText="1"/>
    </xf>
    <xf numFmtId="170" fontId="7" fillId="6" borderId="2" xfId="1" applyNumberFormat="1" applyFont="1" applyFill="1" applyBorder="1" applyAlignment="1">
      <alignment horizontal="center" vertical="center" wrapText="1"/>
    </xf>
    <xf numFmtId="170" fontId="7" fillId="6" borderId="7" xfId="1" applyNumberFormat="1" applyFont="1" applyFill="1" applyBorder="1" applyAlignment="1">
      <alignment horizontal="center" vertical="center" wrapText="1"/>
    </xf>
    <xf numFmtId="170" fontId="23" fillId="7" borderId="7" xfId="1" applyNumberFormat="1" applyFont="1" applyFill="1" applyBorder="1" applyAlignment="1">
      <alignment horizontal="center" vertical="center" wrapText="1"/>
    </xf>
    <xf numFmtId="0" fontId="23" fillId="2" borderId="0" xfId="0" applyFont="1" applyFill="1" applyAlignment="1">
      <alignment horizontal="left" vertical="center" wrapText="1" indent="1"/>
    </xf>
    <xf numFmtId="0" fontId="24" fillId="2" borderId="0" xfId="0" applyFont="1" applyFill="1" applyAlignment="1">
      <alignment horizontal="left" vertical="center" wrapText="1" indent="1"/>
    </xf>
    <xf numFmtId="0" fontId="15" fillId="0" borderId="0" xfId="0" applyFont="1" applyAlignment="1">
      <alignment vertical="center"/>
    </xf>
    <xf numFmtId="0" fontId="1" fillId="0" borderId="0" xfId="0" applyFont="1"/>
    <xf numFmtId="169" fontId="23" fillId="2" borderId="9" xfId="0" applyNumberFormat="1" applyFont="1" applyFill="1" applyBorder="1" applyAlignment="1">
      <alignment horizontal="right" vertical="center" wrapText="1"/>
    </xf>
    <xf numFmtId="3" fontId="23" fillId="2" borderId="2" xfId="0" applyNumberFormat="1" applyFont="1" applyFill="1" applyBorder="1" applyAlignment="1">
      <alignment horizontal="right" vertical="center" wrapText="1"/>
    </xf>
    <xf numFmtId="169" fontId="22" fillId="2" borderId="9" xfId="0" applyNumberFormat="1" applyFont="1" applyFill="1" applyBorder="1" applyAlignment="1">
      <alignment horizontal="right" vertical="center" wrapText="1"/>
    </xf>
    <xf numFmtId="169" fontId="22" fillId="2" borderId="11" xfId="0" applyNumberFormat="1" applyFont="1" applyFill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5" fillId="5" borderId="0" xfId="0" applyFont="1" applyFill="1" applyAlignment="1">
      <alignment horizontal="center" vertical="center" wrapText="1"/>
    </xf>
    <xf numFmtId="0" fontId="23" fillId="2" borderId="4" xfId="0" applyFont="1" applyFill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33" fillId="10" borderId="28" xfId="0" applyFont="1" applyFill="1" applyBorder="1" applyAlignment="1">
      <alignment horizontal="left" indent="2"/>
    </xf>
    <xf numFmtId="164" fontId="18" fillId="10" borderId="29" xfId="4" applyNumberFormat="1" applyFont="1" applyFill="1" applyBorder="1" applyAlignment="1">
      <alignment horizontal="center"/>
    </xf>
    <xf numFmtId="0" fontId="33" fillId="10" borderId="30" xfId="0" applyFont="1" applyFill="1" applyBorder="1" applyAlignment="1">
      <alignment horizontal="left" indent="2"/>
    </xf>
    <xf numFmtId="169" fontId="22" fillId="7" borderId="9" xfId="0" applyNumberFormat="1" applyFont="1" applyFill="1" applyBorder="1" applyAlignment="1">
      <alignment horizontal="right" vertical="center" wrapText="1"/>
    </xf>
    <xf numFmtId="169" fontId="23" fillId="7" borderId="9" xfId="0" applyNumberFormat="1" applyFont="1" applyFill="1" applyBorder="1" applyAlignment="1">
      <alignment horizontal="right" vertical="center" wrapText="1"/>
    </xf>
    <xf numFmtId="0" fontId="25" fillId="11" borderId="32" xfId="0" applyFont="1" applyFill="1" applyBorder="1" applyAlignment="1">
      <alignment horizontal="left" vertical="center" wrapText="1"/>
    </xf>
    <xf numFmtId="0" fontId="25" fillId="11" borderId="32" xfId="0" applyFont="1" applyFill="1" applyBorder="1" applyAlignment="1">
      <alignment horizontal="center" vertical="center" wrapText="1"/>
    </xf>
    <xf numFmtId="169" fontId="18" fillId="12" borderId="4" xfId="0" applyNumberFormat="1" applyFont="1" applyFill="1" applyBorder="1" applyAlignment="1">
      <alignment horizontal="left" vertical="center" wrapText="1"/>
    </xf>
    <xf numFmtId="3" fontId="18" fillId="12" borderId="4" xfId="0" applyNumberFormat="1" applyFont="1" applyFill="1" applyBorder="1" applyAlignment="1">
      <alignment horizontal="center" vertical="center" wrapText="1"/>
    </xf>
    <xf numFmtId="3" fontId="18" fillId="12" borderId="4" xfId="2" applyNumberFormat="1" applyFont="1" applyFill="1" applyBorder="1" applyAlignment="1">
      <alignment horizontal="center" vertical="center" wrapText="1"/>
    </xf>
    <xf numFmtId="10" fontId="18" fillId="12" borderId="4" xfId="0" applyNumberFormat="1" applyFont="1" applyFill="1" applyBorder="1" applyAlignment="1">
      <alignment horizontal="center" vertical="center" wrapText="1"/>
    </xf>
    <xf numFmtId="10" fontId="18" fillId="12" borderId="4" xfId="2" applyNumberFormat="1" applyFont="1" applyFill="1" applyBorder="1" applyAlignment="1">
      <alignment horizontal="center" vertical="center" wrapText="1"/>
    </xf>
    <xf numFmtId="169" fontId="24" fillId="2" borderId="2" xfId="0" applyNumberFormat="1" applyFont="1" applyFill="1" applyBorder="1" applyAlignment="1">
      <alignment horizontal="right" vertical="center" wrapText="1"/>
    </xf>
    <xf numFmtId="0" fontId="24" fillId="7" borderId="0" xfId="0" applyFont="1" applyFill="1" applyAlignment="1">
      <alignment vertical="center" wrapText="1"/>
    </xf>
    <xf numFmtId="169" fontId="24" fillId="7" borderId="2" xfId="0" applyNumberFormat="1" applyFont="1" applyFill="1" applyBorder="1" applyAlignment="1">
      <alignment horizontal="right" vertical="center" wrapText="1"/>
    </xf>
    <xf numFmtId="3" fontId="23" fillId="7" borderId="2" xfId="0" applyNumberFormat="1" applyFont="1" applyFill="1" applyBorder="1" applyAlignment="1">
      <alignment horizontal="right" vertical="center" wrapText="1"/>
    </xf>
    <xf numFmtId="0" fontId="33" fillId="0" borderId="0" xfId="0" applyFont="1" applyAlignment="1">
      <alignment vertical="center" wrapText="1"/>
    </xf>
    <xf numFmtId="43" fontId="33" fillId="0" borderId="0" xfId="1" applyFont="1" applyBorder="1" applyAlignment="1">
      <alignment vertical="center"/>
    </xf>
    <xf numFmtId="43" fontId="33" fillId="0" borderId="0" xfId="1" applyFont="1" applyFill="1" applyBorder="1" applyAlignment="1">
      <alignment vertical="center"/>
    </xf>
    <xf numFmtId="43" fontId="17" fillId="0" borderId="0" xfId="1" applyFont="1"/>
    <xf numFmtId="43" fontId="33" fillId="0" borderId="0" xfId="1" applyFont="1" applyAlignment="1">
      <alignment vertical="center"/>
    </xf>
    <xf numFmtId="0" fontId="33" fillId="0" borderId="0" xfId="0" applyFont="1" applyAlignment="1">
      <alignment vertical="center"/>
    </xf>
    <xf numFmtId="170" fontId="33" fillId="0" borderId="0" xfId="1" applyNumberFormat="1" applyFont="1" applyAlignment="1">
      <alignment vertical="center"/>
    </xf>
    <xf numFmtId="0" fontId="17" fillId="0" borderId="4" xfId="0" applyFont="1" applyBorder="1" applyAlignment="1">
      <alignment vertical="center" wrapText="1"/>
    </xf>
    <xf numFmtId="170" fontId="17" fillId="0" borderId="0" xfId="1" applyNumberFormat="1" applyFont="1"/>
    <xf numFmtId="0" fontId="33" fillId="0" borderId="0" xfId="0" applyFont="1" applyAlignment="1">
      <alignment horizontal="right" vertical="center"/>
    </xf>
    <xf numFmtId="0" fontId="33" fillId="0" borderId="25" xfId="0" applyFont="1" applyBorder="1" applyAlignment="1">
      <alignment vertical="center"/>
    </xf>
    <xf numFmtId="43" fontId="33" fillId="0" borderId="25" xfId="1" applyFont="1" applyBorder="1" applyAlignment="1">
      <alignment vertical="center"/>
    </xf>
    <xf numFmtId="0" fontId="33" fillId="0" borderId="25" xfId="0" applyFont="1" applyBorder="1" applyAlignment="1">
      <alignment horizontal="right" vertical="center"/>
    </xf>
    <xf numFmtId="43" fontId="4" fillId="0" borderId="0" xfId="1" applyFont="1" applyFill="1"/>
    <xf numFmtId="0" fontId="26" fillId="0" borderId="0" xfId="0" applyFont="1" applyAlignment="1">
      <alignment horizontal="left" vertical="center" wrapText="1"/>
    </xf>
    <xf numFmtId="0" fontId="27" fillId="2" borderId="0" xfId="0" applyFont="1" applyFill="1" applyAlignment="1">
      <alignment horizontal="left" vertical="center" wrapText="1"/>
    </xf>
    <xf numFmtId="0" fontId="22" fillId="2" borderId="0" xfId="0" applyFont="1" applyFill="1" applyAlignment="1">
      <alignment horizontal="left" vertical="center" wrapText="1"/>
    </xf>
    <xf numFmtId="0" fontId="38" fillId="0" borderId="0" xfId="0" applyFont="1"/>
    <xf numFmtId="0" fontId="27" fillId="2" borderId="0" xfId="0" applyFont="1" applyFill="1" applyAlignment="1">
      <alignment horizontal="left" vertical="center" wrapText="1" indent="1"/>
    </xf>
    <xf numFmtId="0" fontId="22" fillId="2" borderId="0" xfId="0" applyFont="1" applyFill="1" applyAlignment="1">
      <alignment horizontal="left" vertical="center" wrapText="1" indent="1"/>
    </xf>
    <xf numFmtId="0" fontId="40" fillId="2" borderId="0" xfId="0" applyFont="1" applyFill="1"/>
    <xf numFmtId="0" fontId="18" fillId="2" borderId="0" xfId="0" applyFont="1" applyFill="1" applyAlignment="1">
      <alignment horizontal="left" indent="2"/>
    </xf>
    <xf numFmtId="0" fontId="17" fillId="2" borderId="0" xfId="0" applyFont="1" applyFill="1" applyAlignment="1">
      <alignment horizontal="left" indent="2"/>
    </xf>
    <xf numFmtId="168" fontId="22" fillId="2" borderId="2" xfId="0" applyNumberFormat="1" applyFont="1" applyFill="1" applyBorder="1" applyAlignment="1">
      <alignment horizontal="right" vertical="center" wrapText="1"/>
    </xf>
    <xf numFmtId="169" fontId="27" fillId="7" borderId="12" xfId="0" applyNumberFormat="1" applyFont="1" applyFill="1" applyBorder="1" applyAlignment="1">
      <alignment horizontal="right" vertical="center" wrapText="1"/>
    </xf>
    <xf numFmtId="0" fontId="16" fillId="5" borderId="4" xfId="0" applyFont="1" applyFill="1" applyBorder="1" applyAlignment="1">
      <alignment horizontal="center" vertical="center" wrapText="1"/>
    </xf>
    <xf numFmtId="170" fontId="0" fillId="0" borderId="0" xfId="1" applyNumberFormat="1" applyFont="1"/>
    <xf numFmtId="0" fontId="22" fillId="7" borderId="0" xfId="0" applyFont="1" applyFill="1" applyAlignment="1">
      <alignment vertical="center" wrapText="1"/>
    </xf>
    <xf numFmtId="0" fontId="45" fillId="0" borderId="0" xfId="0" applyFont="1"/>
    <xf numFmtId="0" fontId="45" fillId="0" borderId="0" xfId="0" applyFont="1" applyAlignment="1">
      <alignment horizontal="center" vertical="center"/>
    </xf>
    <xf numFmtId="170" fontId="23" fillId="7" borderId="2" xfId="1" applyNumberFormat="1" applyFont="1" applyFill="1" applyBorder="1" applyAlignment="1">
      <alignment horizontal="center" vertical="center" wrapText="1"/>
    </xf>
    <xf numFmtId="164" fontId="19" fillId="2" borderId="35" xfId="1" applyNumberFormat="1" applyFont="1" applyFill="1" applyBorder="1"/>
    <xf numFmtId="0" fontId="40" fillId="2" borderId="35" xfId="0" applyFont="1" applyFill="1" applyBorder="1"/>
    <xf numFmtId="169" fontId="47" fillId="0" borderId="0" xfId="0" applyNumberFormat="1" applyFont="1"/>
    <xf numFmtId="168" fontId="23" fillId="2" borderId="2" xfId="0" applyNumberFormat="1" applyFont="1" applyFill="1" applyBorder="1" applyAlignment="1">
      <alignment horizontal="right" vertical="center" wrapText="1"/>
    </xf>
    <xf numFmtId="168" fontId="23" fillId="7" borderId="2" xfId="0" applyNumberFormat="1" applyFont="1" applyFill="1" applyBorder="1" applyAlignment="1">
      <alignment horizontal="right" vertical="center" wrapText="1"/>
    </xf>
    <xf numFmtId="168" fontId="27" fillId="7" borderId="12" xfId="0" applyNumberFormat="1" applyFont="1" applyFill="1" applyBorder="1" applyAlignment="1">
      <alignment horizontal="right" vertical="center" wrapText="1"/>
    </xf>
    <xf numFmtId="168" fontId="23" fillId="7" borderId="9" xfId="0" applyNumberFormat="1" applyFont="1" applyFill="1" applyBorder="1" applyAlignment="1">
      <alignment horizontal="right" vertical="center" wrapText="1"/>
    </xf>
    <xf numFmtId="167" fontId="33" fillId="0" borderId="0" xfId="0" applyNumberFormat="1" applyFont="1" applyAlignment="1">
      <alignment horizontal="right" vertical="center"/>
    </xf>
    <xf numFmtId="164" fontId="48" fillId="0" borderId="0" xfId="1" applyNumberFormat="1" applyFont="1"/>
    <xf numFmtId="10" fontId="48" fillId="0" borderId="0" xfId="2" applyNumberFormat="1" applyFont="1"/>
    <xf numFmtId="0" fontId="50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7" fillId="14" borderId="0" xfId="0" applyFont="1" applyFill="1" applyAlignment="1">
      <alignment vertical="center" wrapText="1"/>
    </xf>
    <xf numFmtId="169" fontId="27" fillId="14" borderId="12" xfId="0" applyNumberFormat="1" applyFont="1" applyFill="1" applyBorder="1" applyAlignment="1">
      <alignment horizontal="right" vertical="center" wrapText="1"/>
    </xf>
    <xf numFmtId="169" fontId="23" fillId="12" borderId="32" xfId="0" applyNumberFormat="1" applyFont="1" applyFill="1" applyBorder="1" applyAlignment="1">
      <alignment horizontal="right" vertical="center" wrapText="1"/>
    </xf>
    <xf numFmtId="169" fontId="23" fillId="13" borderId="32" xfId="0" applyNumberFormat="1" applyFont="1" applyFill="1" applyBorder="1" applyAlignment="1">
      <alignment horizontal="right" vertical="center" wrapText="1"/>
    </xf>
    <xf numFmtId="169" fontId="18" fillId="12" borderId="45" xfId="0" applyNumberFormat="1" applyFont="1" applyFill="1" applyBorder="1" applyAlignment="1">
      <alignment horizontal="right" vertical="center" wrapText="1"/>
    </xf>
    <xf numFmtId="169" fontId="18" fillId="12" borderId="46" xfId="0" applyNumberFormat="1" applyFont="1" applyFill="1" applyBorder="1" applyAlignment="1">
      <alignment horizontal="right" vertical="center" wrapText="1"/>
    </xf>
    <xf numFmtId="3" fontId="22" fillId="12" borderId="47" xfId="0" applyNumberFormat="1" applyFont="1" applyFill="1" applyBorder="1" applyAlignment="1">
      <alignment horizontal="right" vertical="center" wrapText="1"/>
    </xf>
    <xf numFmtId="169" fontId="24" fillId="2" borderId="0" xfId="0" applyNumberFormat="1" applyFont="1" applyFill="1" applyAlignment="1">
      <alignment vertical="center" wrapText="1"/>
    </xf>
    <xf numFmtId="0" fontId="23" fillId="12" borderId="48" xfId="0" applyFont="1" applyFill="1" applyBorder="1" applyAlignment="1">
      <alignment horizontal="right" vertical="center" wrapText="1"/>
    </xf>
    <xf numFmtId="169" fontId="23" fillId="12" borderId="48" xfId="0" applyNumberFormat="1" applyFont="1" applyFill="1" applyBorder="1" applyAlignment="1">
      <alignment horizontal="right" vertical="center" wrapText="1"/>
    </xf>
    <xf numFmtId="169" fontId="23" fillId="12" borderId="49" xfId="0" applyNumberFormat="1" applyFont="1" applyFill="1" applyBorder="1" applyAlignment="1">
      <alignment horizontal="right" vertical="center" wrapText="1"/>
    </xf>
    <xf numFmtId="169" fontId="22" fillId="12" borderId="49" xfId="0" applyNumberFormat="1" applyFont="1" applyFill="1" applyBorder="1" applyAlignment="1">
      <alignment horizontal="right" vertical="center" wrapText="1"/>
    </xf>
    <xf numFmtId="169" fontId="22" fillId="12" borderId="50" xfId="0" applyNumberFormat="1" applyFont="1" applyFill="1" applyBorder="1" applyAlignment="1">
      <alignment horizontal="right" vertical="center" wrapText="1"/>
    </xf>
    <xf numFmtId="169" fontId="22" fillId="12" borderId="51" xfId="0" applyNumberFormat="1" applyFont="1" applyFill="1" applyBorder="1" applyAlignment="1">
      <alignment horizontal="right" vertical="center" wrapText="1"/>
    </xf>
    <xf numFmtId="3" fontId="23" fillId="12" borderId="32" xfId="0" applyNumberFormat="1" applyFont="1" applyFill="1" applyBorder="1" applyAlignment="1">
      <alignment horizontal="right" vertical="center" wrapText="1"/>
    </xf>
    <xf numFmtId="0" fontId="23" fillId="12" borderId="32" xfId="0" applyFont="1" applyFill="1" applyBorder="1" applyAlignment="1">
      <alignment vertical="center" wrapText="1"/>
    </xf>
    <xf numFmtId="170" fontId="23" fillId="12" borderId="32" xfId="1" applyNumberFormat="1" applyFont="1" applyFill="1" applyBorder="1" applyAlignment="1">
      <alignment horizontal="right" vertical="center" wrapText="1"/>
    </xf>
    <xf numFmtId="3" fontId="22" fillId="12" borderId="34" xfId="0" applyNumberFormat="1" applyFont="1" applyFill="1" applyBorder="1" applyAlignment="1">
      <alignment horizontal="right" vertical="center" wrapText="1"/>
    </xf>
    <xf numFmtId="3" fontId="22" fillId="12" borderId="0" xfId="0" applyNumberFormat="1" applyFont="1" applyFill="1" applyAlignment="1">
      <alignment horizontal="right" vertical="center" wrapText="1"/>
    </xf>
    <xf numFmtId="3" fontId="23" fillId="12" borderId="0" xfId="0" applyNumberFormat="1" applyFont="1" applyFill="1" applyAlignment="1">
      <alignment horizontal="right" vertical="center" wrapText="1"/>
    </xf>
    <xf numFmtId="43" fontId="23" fillId="12" borderId="0" xfId="1" applyFont="1" applyFill="1" applyBorder="1" applyAlignment="1">
      <alignment horizontal="right" vertical="center" wrapText="1"/>
    </xf>
    <xf numFmtId="3" fontId="22" fillId="12" borderId="44" xfId="0" applyNumberFormat="1" applyFont="1" applyFill="1" applyBorder="1" applyAlignment="1">
      <alignment horizontal="right" vertical="center" wrapText="1"/>
    </xf>
    <xf numFmtId="3" fontId="22" fillId="12" borderId="57" xfId="0" applyNumberFormat="1" applyFont="1" applyFill="1" applyBorder="1" applyAlignment="1">
      <alignment horizontal="right" vertical="center" wrapText="1"/>
    </xf>
    <xf numFmtId="169" fontId="23" fillId="12" borderId="56" xfId="0" applyNumberFormat="1" applyFont="1" applyFill="1" applyBorder="1" applyAlignment="1">
      <alignment horizontal="right" vertical="center" wrapText="1"/>
    </xf>
    <xf numFmtId="169" fontId="22" fillId="12" borderId="57" xfId="0" applyNumberFormat="1" applyFont="1" applyFill="1" applyBorder="1" applyAlignment="1">
      <alignment horizontal="right" vertical="center" wrapText="1"/>
    </xf>
    <xf numFmtId="169" fontId="23" fillId="12" borderId="0" xfId="0" applyNumberFormat="1" applyFont="1" applyFill="1" applyAlignment="1">
      <alignment horizontal="right" vertical="center" wrapText="1"/>
    </xf>
    <xf numFmtId="169" fontId="23" fillId="12" borderId="46" xfId="0" applyNumberFormat="1" applyFont="1" applyFill="1" applyBorder="1" applyAlignment="1">
      <alignment horizontal="right" vertical="center" wrapText="1"/>
    </xf>
    <xf numFmtId="169" fontId="22" fillId="12" borderId="56" xfId="0" applyNumberFormat="1" applyFont="1" applyFill="1" applyBorder="1" applyAlignment="1">
      <alignment horizontal="right" vertical="center" wrapText="1"/>
    </xf>
    <xf numFmtId="169" fontId="22" fillId="12" borderId="35" xfId="0" applyNumberFormat="1" applyFont="1" applyFill="1" applyBorder="1" applyAlignment="1">
      <alignment horizontal="right" vertical="center" wrapText="1"/>
    </xf>
    <xf numFmtId="169" fontId="22" fillId="12" borderId="58" xfId="0" applyNumberFormat="1" applyFont="1" applyFill="1" applyBorder="1" applyAlignment="1">
      <alignment horizontal="right" vertical="center" wrapText="1"/>
    </xf>
    <xf numFmtId="169" fontId="22" fillId="2" borderId="59" xfId="0" applyNumberFormat="1" applyFont="1" applyFill="1" applyBorder="1" applyAlignment="1">
      <alignment horizontal="right" vertical="center" wrapText="1"/>
    </xf>
    <xf numFmtId="169" fontId="23" fillId="2" borderId="60" xfId="0" applyNumberFormat="1" applyFont="1" applyFill="1" applyBorder="1" applyAlignment="1">
      <alignment horizontal="right" vertical="center" wrapText="1"/>
    </xf>
    <xf numFmtId="0" fontId="25" fillId="11" borderId="3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6" fillId="5" borderId="39" xfId="0" applyFont="1" applyFill="1" applyBorder="1" applyAlignment="1">
      <alignment horizontal="center" vertical="center" wrapText="1"/>
    </xf>
    <xf numFmtId="43" fontId="18" fillId="2" borderId="39" xfId="1" applyFont="1" applyFill="1" applyBorder="1" applyAlignment="1">
      <alignment vertical="center" wrapText="1"/>
    </xf>
    <xf numFmtId="43" fontId="18" fillId="2" borderId="39" xfId="1" quotePrefix="1" applyFont="1" applyFill="1" applyBorder="1" applyAlignment="1">
      <alignment vertical="center" wrapText="1"/>
    </xf>
    <xf numFmtId="0" fontId="25" fillId="11" borderId="0" xfId="0" applyFont="1" applyFill="1" applyAlignment="1">
      <alignment horizontal="center" vertical="center" wrapText="1"/>
    </xf>
    <xf numFmtId="43" fontId="18" fillId="7" borderId="39" xfId="1" applyFont="1" applyFill="1" applyBorder="1" applyAlignment="1">
      <alignment vertical="center" wrapText="1"/>
    </xf>
    <xf numFmtId="0" fontId="16" fillId="5" borderId="40" xfId="0" applyFont="1" applyFill="1" applyBorder="1" applyAlignment="1">
      <alignment horizontal="center" vertical="center" wrapText="1"/>
    </xf>
    <xf numFmtId="0" fontId="16" fillId="5" borderId="62" xfId="0" applyFont="1" applyFill="1" applyBorder="1" applyAlignment="1">
      <alignment horizontal="center" vertical="center" wrapText="1"/>
    </xf>
    <xf numFmtId="0" fontId="28" fillId="5" borderId="0" xfId="0" applyFont="1" applyFill="1" applyAlignment="1">
      <alignment vertical="center" wrapText="1"/>
    </xf>
    <xf numFmtId="0" fontId="8" fillId="5" borderId="0" xfId="0" applyFont="1" applyFill="1" applyAlignment="1">
      <alignment vertical="center" wrapText="1"/>
    </xf>
    <xf numFmtId="164" fontId="18" fillId="2" borderId="0" xfId="1" applyNumberFormat="1" applyFont="1" applyFill="1" applyBorder="1"/>
    <xf numFmtId="164" fontId="17" fillId="2" borderId="0" xfId="1" applyNumberFormat="1" applyFont="1" applyFill="1" applyBorder="1"/>
    <xf numFmtId="0" fontId="45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52" fillId="0" borderId="64" xfId="0" applyFont="1" applyBorder="1" applyAlignment="1">
      <alignment horizontal="left" vertical="center" wrapText="1" indent="1"/>
    </xf>
    <xf numFmtId="0" fontId="49" fillId="0" borderId="64" xfId="0" applyFont="1" applyBorder="1" applyAlignment="1">
      <alignment horizontal="left" vertical="center" wrapText="1" indent="1"/>
    </xf>
    <xf numFmtId="4" fontId="53" fillId="0" borderId="64" xfId="0" applyNumberFormat="1" applyFont="1" applyBorder="1" applyAlignment="1">
      <alignment horizontal="right" vertical="center" wrapText="1"/>
    </xf>
    <xf numFmtId="17" fontId="53" fillId="0" borderId="64" xfId="0" applyNumberFormat="1" applyFont="1" applyBorder="1" applyAlignment="1">
      <alignment horizontal="center" vertical="center" wrapText="1"/>
    </xf>
    <xf numFmtId="0" fontId="53" fillId="0" borderId="64" xfId="0" applyFont="1" applyBorder="1" applyAlignment="1">
      <alignment horizontal="center" vertical="center" wrapText="1"/>
    </xf>
    <xf numFmtId="10" fontId="54" fillId="0" borderId="64" xfId="0" applyNumberFormat="1" applyFont="1" applyBorder="1" applyAlignment="1">
      <alignment horizontal="center" vertical="center" wrapText="1"/>
    </xf>
    <xf numFmtId="4" fontId="52" fillId="0" borderId="64" xfId="0" applyNumberFormat="1" applyFont="1" applyBorder="1" applyAlignment="1">
      <alignment horizontal="right" vertical="center" wrapText="1"/>
    </xf>
    <xf numFmtId="17" fontId="52" fillId="0" borderId="64" xfId="0" applyNumberFormat="1" applyFont="1" applyBorder="1" applyAlignment="1">
      <alignment horizontal="center" vertical="center" wrapText="1"/>
    </xf>
    <xf numFmtId="0" fontId="52" fillId="0" borderId="64" xfId="0" applyFont="1" applyBorder="1" applyAlignment="1">
      <alignment horizontal="center" vertical="center" wrapText="1"/>
    </xf>
    <xf numFmtId="0" fontId="49" fillId="0" borderId="64" xfId="0" applyFont="1" applyBorder="1" applyAlignment="1">
      <alignment horizontal="right" vertical="center" wrapText="1" indent="1"/>
    </xf>
    <xf numFmtId="2" fontId="52" fillId="0" borderId="64" xfId="0" applyNumberFormat="1" applyFont="1" applyBorder="1" applyAlignment="1">
      <alignment horizontal="right" vertical="center" wrapText="1" indent="1"/>
    </xf>
    <xf numFmtId="10" fontId="52" fillId="0" borderId="64" xfId="2" applyNumberFormat="1" applyFont="1" applyBorder="1" applyAlignment="1">
      <alignment horizontal="right" vertical="center" wrapText="1" indent="1"/>
    </xf>
    <xf numFmtId="0" fontId="55" fillId="0" borderId="65" xfId="0" applyFont="1" applyBorder="1" applyAlignment="1">
      <alignment vertical="center" wrapText="1"/>
    </xf>
    <xf numFmtId="0" fontId="44" fillId="0" borderId="65" xfId="0" applyFont="1" applyBorder="1" applyAlignment="1">
      <alignment horizontal="center" vertical="center" wrapText="1"/>
    </xf>
    <xf numFmtId="170" fontId="17" fillId="0" borderId="0" xfId="1" applyNumberFormat="1" applyFont="1" applyAlignment="1">
      <alignment horizontal="right"/>
    </xf>
    <xf numFmtId="43" fontId="33" fillId="0" borderId="0" xfId="1" applyFont="1" applyAlignment="1">
      <alignment horizontal="right" vertical="center"/>
    </xf>
    <xf numFmtId="43" fontId="33" fillId="0" borderId="25" xfId="1" applyFont="1" applyBorder="1" applyAlignment="1">
      <alignment horizontal="right" vertical="center"/>
    </xf>
    <xf numFmtId="167" fontId="23" fillId="2" borderId="2" xfId="2" applyNumberFormat="1" applyFont="1" applyFill="1" applyBorder="1" applyAlignment="1">
      <alignment horizontal="right" vertical="center" wrapText="1"/>
    </xf>
    <xf numFmtId="167" fontId="23" fillId="7" borderId="2" xfId="2" applyNumberFormat="1" applyFont="1" applyFill="1" applyBorder="1" applyAlignment="1">
      <alignment horizontal="right" vertical="center" wrapText="1"/>
    </xf>
    <xf numFmtId="167" fontId="27" fillId="7" borderId="12" xfId="2" applyNumberFormat="1" applyFont="1" applyFill="1" applyBorder="1" applyAlignment="1">
      <alignment horizontal="right" vertical="center" wrapText="1"/>
    </xf>
    <xf numFmtId="167" fontId="23" fillId="7" borderId="9" xfId="2" applyNumberFormat="1" applyFont="1" applyFill="1" applyBorder="1" applyAlignment="1">
      <alignment horizontal="right" vertical="center" wrapText="1"/>
    </xf>
    <xf numFmtId="167" fontId="22" fillId="2" borderId="2" xfId="2" applyNumberFormat="1" applyFont="1" applyFill="1" applyBorder="1" applyAlignment="1">
      <alignment horizontal="right" vertical="center" wrapText="1"/>
    </xf>
    <xf numFmtId="169" fontId="23" fillId="12" borderId="48" xfId="0" applyNumberFormat="1" applyFont="1" applyFill="1" applyBorder="1" applyAlignment="1">
      <alignment horizontal="left" vertical="center" wrapText="1"/>
    </xf>
    <xf numFmtId="169" fontId="22" fillId="12" borderId="48" xfId="0" applyNumberFormat="1" applyFont="1" applyFill="1" applyBorder="1" applyAlignment="1">
      <alignment horizontal="left" vertical="center" wrapText="1"/>
    </xf>
    <xf numFmtId="164" fontId="58" fillId="12" borderId="48" xfId="0" applyNumberFormat="1" applyFont="1" applyFill="1" applyBorder="1" applyAlignment="1">
      <alignment horizontal="right" vertical="center" wrapText="1"/>
    </xf>
    <xf numFmtId="164" fontId="58" fillId="13" borderId="48" xfId="0" applyNumberFormat="1" applyFont="1" applyFill="1" applyBorder="1" applyAlignment="1">
      <alignment horizontal="right" vertical="center" wrapText="1"/>
    </xf>
    <xf numFmtId="164" fontId="22" fillId="12" borderId="66" xfId="0" applyNumberFormat="1" applyFont="1" applyFill="1" applyBorder="1" applyAlignment="1">
      <alignment horizontal="right" vertical="center"/>
    </xf>
    <xf numFmtId="0" fontId="22" fillId="2" borderId="2" xfId="0" applyFont="1" applyFill="1" applyBorder="1" applyAlignment="1">
      <alignment vertical="center" wrapText="1"/>
    </xf>
    <xf numFmtId="169" fontId="22" fillId="2" borderId="3" xfId="0" applyNumberFormat="1" applyFont="1" applyFill="1" applyBorder="1" applyAlignment="1">
      <alignment horizontal="right" vertical="center" wrapText="1"/>
    </xf>
    <xf numFmtId="169" fontId="23" fillId="2" borderId="3" xfId="0" applyNumberFormat="1" applyFont="1" applyFill="1" applyBorder="1" applyAlignment="1">
      <alignment horizontal="right" vertical="center" wrapText="1"/>
    </xf>
    <xf numFmtId="0" fontId="23" fillId="2" borderId="2" xfId="0" applyFont="1" applyFill="1" applyBorder="1" applyAlignment="1">
      <alignment horizontal="left" vertical="center" wrapText="1" indent="1"/>
    </xf>
    <xf numFmtId="169" fontId="23" fillId="2" borderId="33" xfId="0" applyNumberFormat="1" applyFont="1" applyFill="1" applyBorder="1" applyAlignment="1">
      <alignment horizontal="right" vertical="center" wrapText="1"/>
    </xf>
    <xf numFmtId="43" fontId="23" fillId="12" borderId="32" xfId="1" applyFont="1" applyFill="1" applyBorder="1" applyAlignment="1">
      <alignment horizontal="right" vertical="center" wrapText="1"/>
    </xf>
    <xf numFmtId="0" fontId="61" fillId="0" borderId="0" xfId="0" applyFont="1" applyAlignment="1">
      <alignment horizontal="left" vertical="center"/>
    </xf>
    <xf numFmtId="0" fontId="62" fillId="5" borderId="0" xfId="0" applyFont="1" applyFill="1" applyAlignment="1">
      <alignment horizontal="center" vertical="center" wrapText="1"/>
    </xf>
    <xf numFmtId="0" fontId="62" fillId="5" borderId="2" xfId="0" applyFont="1" applyFill="1" applyBorder="1" applyAlignment="1">
      <alignment horizontal="center" vertical="center" wrapText="1"/>
    </xf>
    <xf numFmtId="0" fontId="63" fillId="2" borderId="0" xfId="0" applyFont="1" applyFill="1" applyAlignment="1">
      <alignment vertical="center" wrapText="1"/>
    </xf>
    <xf numFmtId="0" fontId="59" fillId="2" borderId="2" xfId="0" applyFont="1" applyFill="1" applyBorder="1" applyAlignment="1">
      <alignment vertical="center" wrapText="1"/>
    </xf>
    <xf numFmtId="0" fontId="59" fillId="2" borderId="0" xfId="0" applyFont="1" applyFill="1" applyAlignment="1">
      <alignment vertical="center" wrapText="1"/>
    </xf>
    <xf numFmtId="169" fontId="59" fillId="2" borderId="9" xfId="0" applyNumberFormat="1" applyFont="1" applyFill="1" applyBorder="1" applyAlignment="1">
      <alignment horizontal="right" vertical="center" wrapText="1"/>
    </xf>
    <xf numFmtId="0" fontId="63" fillId="2" borderId="4" xfId="0" applyFont="1" applyFill="1" applyBorder="1" applyAlignment="1">
      <alignment vertical="center" wrapText="1"/>
    </xf>
    <xf numFmtId="169" fontId="63" fillId="2" borderId="4" xfId="0" applyNumberFormat="1" applyFont="1" applyFill="1" applyBorder="1" applyAlignment="1">
      <alignment horizontal="right" vertical="center" wrapText="1"/>
    </xf>
    <xf numFmtId="169" fontId="59" fillId="2" borderId="2" xfId="0" applyNumberFormat="1" applyFont="1" applyFill="1" applyBorder="1" applyAlignment="1">
      <alignment horizontal="right" vertical="center" wrapText="1"/>
    </xf>
    <xf numFmtId="0" fontId="59" fillId="2" borderId="4" xfId="0" applyFont="1" applyFill="1" applyBorder="1" applyAlignment="1">
      <alignment vertical="center" wrapText="1"/>
    </xf>
    <xf numFmtId="0" fontId="63" fillId="0" borderId="4" xfId="0" applyFont="1" applyBorder="1" applyAlignment="1">
      <alignment vertical="center" wrapText="1"/>
    </xf>
    <xf numFmtId="0" fontId="62" fillId="5" borderId="67" xfId="0" applyFont="1" applyFill="1" applyBorder="1" applyAlignment="1">
      <alignment horizontal="center" vertical="center" wrapText="1"/>
    </xf>
    <xf numFmtId="0" fontId="62" fillId="5" borderId="18" xfId="0" applyFont="1" applyFill="1" applyBorder="1" applyAlignment="1">
      <alignment horizontal="center" vertical="center" wrapText="1"/>
    </xf>
    <xf numFmtId="0" fontId="62" fillId="11" borderId="37" xfId="0" applyFont="1" applyFill="1" applyBorder="1" applyAlignment="1">
      <alignment horizontal="center" vertical="center" wrapText="1"/>
    </xf>
    <xf numFmtId="0" fontId="62" fillId="5" borderId="20" xfId="0" applyFont="1" applyFill="1" applyBorder="1" applyAlignment="1">
      <alignment horizontal="center" vertical="center" wrapText="1"/>
    </xf>
    <xf numFmtId="0" fontId="64" fillId="2" borderId="0" xfId="0" applyFont="1" applyFill="1" applyAlignment="1">
      <alignment vertical="center" wrapText="1"/>
    </xf>
    <xf numFmtId="1" fontId="65" fillId="2" borderId="13" xfId="0" applyNumberFormat="1" applyFont="1" applyFill="1" applyBorder="1" applyAlignment="1">
      <alignment horizontal="center" vertical="center" wrapText="1"/>
    </xf>
    <xf numFmtId="0" fontId="65" fillId="2" borderId="13" xfId="0" applyFont="1" applyFill="1" applyBorder="1" applyAlignment="1">
      <alignment horizontal="center" vertical="center" wrapText="1"/>
    </xf>
    <xf numFmtId="169" fontId="65" fillId="2" borderId="13" xfId="1" applyNumberFormat="1" applyFont="1" applyFill="1" applyBorder="1" applyAlignment="1">
      <alignment horizontal="right" vertical="center" wrapText="1"/>
    </xf>
    <xf numFmtId="0" fontId="65" fillId="2" borderId="0" xfId="0" applyFont="1" applyFill="1" applyAlignment="1">
      <alignment vertical="center" wrapText="1"/>
    </xf>
    <xf numFmtId="10" fontId="65" fillId="2" borderId="13" xfId="2" applyNumberFormat="1" applyFont="1" applyFill="1" applyBorder="1" applyAlignment="1">
      <alignment horizontal="center" vertical="center" wrapText="1"/>
    </xf>
    <xf numFmtId="169" fontId="65" fillId="2" borderId="13" xfId="0" applyNumberFormat="1" applyFont="1" applyFill="1" applyBorder="1" applyAlignment="1">
      <alignment horizontal="center" vertical="center" wrapText="1"/>
    </xf>
    <xf numFmtId="169" fontId="65" fillId="2" borderId="23" xfId="1" applyNumberFormat="1" applyFont="1" applyFill="1" applyBorder="1" applyAlignment="1">
      <alignment horizontal="right" vertical="center" wrapText="1"/>
    </xf>
    <xf numFmtId="169" fontId="64" fillId="2" borderId="14" xfId="1" applyNumberFormat="1" applyFont="1" applyFill="1" applyBorder="1" applyAlignment="1">
      <alignment horizontal="right" vertical="center" wrapText="1"/>
    </xf>
    <xf numFmtId="169" fontId="65" fillId="2" borderId="19" xfId="0" applyNumberFormat="1" applyFont="1" applyFill="1" applyBorder="1" applyAlignment="1">
      <alignment horizontal="center" vertical="center" wrapText="1"/>
    </xf>
    <xf numFmtId="169" fontId="64" fillId="2" borderId="38" xfId="1" applyNumberFormat="1" applyFont="1" applyFill="1" applyBorder="1" applyAlignment="1">
      <alignment horizontal="right" vertical="center" wrapText="1"/>
    </xf>
    <xf numFmtId="1" fontId="64" fillId="2" borderId="13" xfId="0" applyNumberFormat="1" applyFont="1" applyFill="1" applyBorder="1" applyAlignment="1">
      <alignment horizontal="center" vertical="center" wrapText="1"/>
    </xf>
    <xf numFmtId="169" fontId="64" fillId="2" borderId="13" xfId="0" applyNumberFormat="1" applyFont="1" applyFill="1" applyBorder="1" applyAlignment="1">
      <alignment horizontal="center" vertical="center" wrapText="1"/>
    </xf>
    <xf numFmtId="169" fontId="64" fillId="2" borderId="19" xfId="0" applyNumberFormat="1" applyFont="1" applyFill="1" applyBorder="1" applyAlignment="1">
      <alignment horizontal="center" vertical="center" wrapText="1"/>
    </xf>
    <xf numFmtId="169" fontId="64" fillId="2" borderId="8" xfId="1" applyNumberFormat="1" applyFont="1" applyFill="1" applyBorder="1" applyAlignment="1">
      <alignment horizontal="right" vertical="center" wrapText="1"/>
    </xf>
    <xf numFmtId="0" fontId="62" fillId="11" borderId="39" xfId="0" applyFont="1" applyFill="1" applyBorder="1" applyAlignment="1">
      <alignment vertical="center" wrapText="1"/>
    </xf>
    <xf numFmtId="0" fontId="62" fillId="11" borderId="39" xfId="0" applyFont="1" applyFill="1" applyBorder="1" applyAlignment="1">
      <alignment horizontal="center" vertical="center" wrapText="1"/>
    </xf>
    <xf numFmtId="0" fontId="62" fillId="11" borderId="61" xfId="0" applyFont="1" applyFill="1" applyBorder="1" applyAlignment="1">
      <alignment horizontal="center" vertical="center" wrapText="1"/>
    </xf>
    <xf numFmtId="0" fontId="65" fillId="12" borderId="36" xfId="0" applyFont="1" applyFill="1" applyBorder="1" applyAlignment="1">
      <alignment vertical="center" wrapText="1"/>
    </xf>
    <xf numFmtId="169" fontId="65" fillId="12" borderId="43" xfId="1" applyNumberFormat="1" applyFont="1" applyFill="1" applyBorder="1" applyAlignment="1">
      <alignment horizontal="right" vertical="center" wrapText="1"/>
    </xf>
    <xf numFmtId="169" fontId="65" fillId="12" borderId="36" xfId="0" applyNumberFormat="1" applyFont="1" applyFill="1" applyBorder="1" applyAlignment="1">
      <alignment vertical="center" wrapText="1"/>
    </xf>
    <xf numFmtId="169" fontId="65" fillId="12" borderId="46" xfId="1" applyNumberFormat="1" applyFont="1" applyFill="1" applyBorder="1" applyAlignment="1">
      <alignment horizontal="right" vertical="center" wrapText="1"/>
    </xf>
    <xf numFmtId="169" fontId="65" fillId="12" borderId="52" xfId="1" applyNumberFormat="1" applyFont="1" applyFill="1" applyBorder="1" applyAlignment="1">
      <alignment horizontal="right" vertical="center" wrapText="1"/>
    </xf>
    <xf numFmtId="169" fontId="65" fillId="12" borderId="53" xfId="1" applyNumberFormat="1" applyFont="1" applyFill="1" applyBorder="1" applyAlignment="1">
      <alignment horizontal="right" vertical="center" wrapText="1"/>
    </xf>
    <xf numFmtId="169" fontId="65" fillId="12" borderId="54" xfId="1" applyNumberFormat="1" applyFont="1" applyFill="1" applyBorder="1" applyAlignment="1">
      <alignment horizontal="right" vertical="center" wrapText="1"/>
    </xf>
    <xf numFmtId="0" fontId="64" fillId="12" borderId="36" xfId="0" applyFont="1" applyFill="1" applyBorder="1" applyAlignment="1">
      <alignment vertical="center" wrapText="1"/>
    </xf>
    <xf numFmtId="169" fontId="64" fillId="12" borderId="55" xfId="1" applyNumberFormat="1" applyFont="1" applyFill="1" applyBorder="1" applyAlignment="1">
      <alignment horizontal="right" vertical="center" wrapText="1"/>
    </xf>
    <xf numFmtId="169" fontId="64" fillId="12" borderId="47" xfId="1" applyNumberFormat="1" applyFont="1" applyFill="1" applyBorder="1" applyAlignment="1">
      <alignment horizontal="right" vertical="center" wrapText="1"/>
    </xf>
    <xf numFmtId="169" fontId="66" fillId="0" borderId="0" xfId="0" applyNumberFormat="1" applyFont="1"/>
    <xf numFmtId="169" fontId="65" fillId="12" borderId="36" xfId="1" applyNumberFormat="1" applyFont="1" applyFill="1" applyBorder="1" applyAlignment="1">
      <alignment horizontal="right" vertical="center" wrapText="1"/>
    </xf>
    <xf numFmtId="169" fontId="65" fillId="12" borderId="45" xfId="1" applyNumberFormat="1" applyFont="1" applyFill="1" applyBorder="1" applyAlignment="1">
      <alignment horizontal="right" vertical="center" wrapText="1"/>
    </xf>
    <xf numFmtId="169" fontId="64" fillId="12" borderId="44" xfId="0" applyNumberFormat="1" applyFont="1" applyFill="1" applyBorder="1" applyAlignment="1">
      <alignment vertical="center" wrapText="1"/>
    </xf>
    <xf numFmtId="169" fontId="64" fillId="12" borderId="8" xfId="1" applyNumberFormat="1" applyFont="1" applyFill="1" applyBorder="1" applyAlignment="1">
      <alignment horizontal="right" vertical="center" wrapText="1"/>
    </xf>
    <xf numFmtId="0" fontId="68" fillId="0" borderId="0" xfId="0" quotePrefix="1" applyFont="1" applyAlignment="1">
      <alignment vertical="top"/>
    </xf>
    <xf numFmtId="169" fontId="65" fillId="2" borderId="19" xfId="1" applyNumberFormat="1" applyFont="1" applyFill="1" applyBorder="1" applyAlignment="1">
      <alignment horizontal="right" vertical="center" wrapText="1"/>
    </xf>
    <xf numFmtId="169" fontId="65" fillId="2" borderId="68" xfId="1" applyNumberFormat="1" applyFont="1" applyFill="1" applyBorder="1" applyAlignment="1">
      <alignment horizontal="right" vertical="center" wrapText="1"/>
    </xf>
    <xf numFmtId="169" fontId="64" fillId="2" borderId="69" xfId="1" applyNumberFormat="1" applyFont="1" applyFill="1" applyBorder="1" applyAlignment="1">
      <alignment horizontal="right" vertical="center" wrapText="1"/>
    </xf>
    <xf numFmtId="169" fontId="64" fillId="2" borderId="70" xfId="1" applyNumberFormat="1" applyFont="1" applyFill="1" applyBorder="1" applyAlignment="1">
      <alignment horizontal="right" vertical="center" wrapText="1"/>
    </xf>
    <xf numFmtId="0" fontId="31" fillId="15" borderId="28" xfId="0" applyFont="1" applyFill="1" applyBorder="1" applyAlignment="1">
      <alignment horizontal="left" indent="1"/>
    </xf>
    <xf numFmtId="164" fontId="32" fillId="15" borderId="29" xfId="4" applyNumberFormat="1" applyFont="1" applyFill="1" applyBorder="1" applyAlignment="1">
      <alignment horizontal="center"/>
    </xf>
    <xf numFmtId="0" fontId="31" fillId="10" borderId="28" xfId="0" applyFont="1" applyFill="1" applyBorder="1" applyAlignment="1">
      <alignment horizontal="left" indent="1"/>
    </xf>
    <xf numFmtId="164" fontId="32" fillId="10" borderId="29" xfId="4" applyNumberFormat="1" applyFont="1" applyFill="1" applyBorder="1" applyAlignment="1">
      <alignment horizontal="center"/>
    </xf>
    <xf numFmtId="0" fontId="13" fillId="0" borderId="0" xfId="0" applyFont="1" applyAlignment="1">
      <alignment horizontal="left" vertical="top"/>
    </xf>
    <xf numFmtId="43" fontId="18" fillId="16" borderId="39" xfId="1" applyFont="1" applyFill="1" applyBorder="1" applyAlignment="1">
      <alignment vertical="center" wrapText="1"/>
    </xf>
    <xf numFmtId="0" fontId="20" fillId="0" borderId="0" xfId="0" applyFont="1" applyAlignment="1">
      <alignment horizontal="left" vertical="center" indent="3"/>
    </xf>
    <xf numFmtId="0" fontId="37" fillId="0" borderId="0" xfId="0" applyFont="1" applyAlignment="1">
      <alignment vertical="center" wrapText="1"/>
    </xf>
    <xf numFmtId="9" fontId="22" fillId="12" borderId="0" xfId="2" applyFont="1" applyFill="1" applyAlignment="1">
      <alignment horizontal="right" vertical="center" wrapText="1"/>
    </xf>
    <xf numFmtId="0" fontId="0" fillId="0" borderId="0" xfId="0" quotePrefix="1"/>
    <xf numFmtId="0" fontId="42" fillId="5" borderId="0" xfId="0" applyFont="1" applyFill="1" applyAlignment="1">
      <alignment vertical="center" wrapText="1"/>
    </xf>
    <xf numFmtId="0" fontId="25" fillId="11" borderId="45" xfId="0" applyFont="1" applyFill="1" applyBorder="1" applyAlignment="1">
      <alignment horizontal="center" vertical="center" wrapText="1"/>
    </xf>
    <xf numFmtId="0" fontId="24" fillId="13" borderId="4" xfId="0" applyFont="1" applyFill="1" applyBorder="1" applyAlignment="1">
      <alignment vertical="center"/>
    </xf>
    <xf numFmtId="0" fontId="24" fillId="12" borderId="4" xfId="0" applyFont="1" applyFill="1" applyBorder="1" applyAlignment="1">
      <alignment vertical="center"/>
    </xf>
    <xf numFmtId="0" fontId="27" fillId="13" borderId="4" xfId="0" applyFont="1" applyFill="1" applyBorder="1" applyAlignment="1">
      <alignment vertical="center"/>
    </xf>
    <xf numFmtId="0" fontId="27" fillId="12" borderId="4" xfId="0" applyFont="1" applyFill="1" applyBorder="1" applyAlignment="1">
      <alignment vertical="center"/>
    </xf>
    <xf numFmtId="169" fontId="24" fillId="13" borderId="4" xfId="0" applyNumberFormat="1" applyFont="1" applyFill="1" applyBorder="1" applyAlignment="1">
      <alignment horizontal="right" vertical="center"/>
    </xf>
    <xf numFmtId="169" fontId="24" fillId="12" borderId="4" xfId="0" applyNumberFormat="1" applyFont="1" applyFill="1" applyBorder="1" applyAlignment="1">
      <alignment horizontal="right" vertical="center"/>
    </xf>
    <xf numFmtId="169" fontId="27" fillId="13" borderId="71" xfId="0" applyNumberFormat="1" applyFont="1" applyFill="1" applyBorder="1" applyAlignment="1">
      <alignment horizontal="right" vertical="center"/>
    </xf>
    <xf numFmtId="169" fontId="27" fillId="12" borderId="4" xfId="0" applyNumberFormat="1" applyFont="1" applyFill="1" applyBorder="1" applyAlignment="1">
      <alignment horizontal="right" vertical="center"/>
    </xf>
    <xf numFmtId="3" fontId="53" fillId="0" borderId="64" xfId="0" applyNumberFormat="1" applyFont="1" applyBorder="1" applyAlignment="1">
      <alignment horizontal="right" vertical="center" wrapText="1"/>
    </xf>
    <xf numFmtId="3" fontId="52" fillId="0" borderId="64" xfId="0" applyNumberFormat="1" applyFont="1" applyBorder="1" applyAlignment="1">
      <alignment horizontal="right" vertical="center" wrapText="1"/>
    </xf>
    <xf numFmtId="3" fontId="55" fillId="0" borderId="65" xfId="0" applyNumberFormat="1" applyFont="1" applyBorder="1" applyAlignment="1">
      <alignment horizontal="right" vertical="center" wrapText="1"/>
    </xf>
    <xf numFmtId="0" fontId="57" fillId="0" borderId="10" xfId="0" applyFont="1" applyBorder="1"/>
    <xf numFmtId="0" fontId="56" fillId="7" borderId="65" xfId="0" applyFont="1" applyFill="1" applyBorder="1" applyAlignment="1">
      <alignment vertical="center" wrapText="1"/>
    </xf>
    <xf numFmtId="3" fontId="55" fillId="7" borderId="65" xfId="0" applyNumberFormat="1" applyFont="1" applyFill="1" applyBorder="1" applyAlignment="1">
      <alignment horizontal="right" vertical="center" wrapText="1"/>
    </xf>
    <xf numFmtId="0" fontId="44" fillId="7" borderId="65" xfId="0" applyFont="1" applyFill="1" applyBorder="1" applyAlignment="1">
      <alignment horizontal="center" vertical="center" wrapText="1"/>
    </xf>
    <xf numFmtId="3" fontId="55" fillId="0" borderId="65" xfId="0" applyNumberFormat="1" applyFont="1" applyBorder="1" applyAlignment="1">
      <alignment horizontal="right" vertical="center" wrapText="1" indent="1"/>
    </xf>
    <xf numFmtId="0" fontId="55" fillId="7" borderId="65" xfId="0" applyFont="1" applyFill="1" applyBorder="1" applyAlignment="1">
      <alignment vertical="center" wrapText="1"/>
    </xf>
    <xf numFmtId="3" fontId="55" fillId="7" borderId="65" xfId="0" applyNumberFormat="1" applyFont="1" applyFill="1" applyBorder="1" applyAlignment="1">
      <alignment horizontal="right" vertical="center" wrapText="1" indent="1"/>
    </xf>
    <xf numFmtId="0" fontId="16" fillId="5" borderId="7" xfId="0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justify" vertical="center" wrapText="1"/>
    </xf>
    <xf numFmtId="0" fontId="69" fillId="0" borderId="75" xfId="0" applyFont="1" applyBorder="1" applyAlignment="1">
      <alignment vertical="center"/>
    </xf>
    <xf numFmtId="0" fontId="5" fillId="0" borderId="75" xfId="0" applyFont="1" applyBorder="1" applyAlignment="1">
      <alignment vertical="center"/>
    </xf>
    <xf numFmtId="0" fontId="0" fillId="0" borderId="75" xfId="0" applyBorder="1"/>
    <xf numFmtId="169" fontId="24" fillId="2" borderId="2" xfId="0" applyNumberFormat="1" applyFont="1" applyFill="1" applyBorder="1" applyAlignment="1">
      <alignment horizontal="left" vertical="center" wrapText="1"/>
    </xf>
    <xf numFmtId="169" fontId="24" fillId="7" borderId="2" xfId="0" applyNumberFormat="1" applyFont="1" applyFill="1" applyBorder="1" applyAlignment="1">
      <alignment horizontal="left" vertical="center" wrapText="1"/>
    </xf>
    <xf numFmtId="0" fontId="0" fillId="17" borderId="0" xfId="0" applyFill="1"/>
    <xf numFmtId="3" fontId="18" fillId="12" borderId="0" xfId="0" applyNumberFormat="1" applyFont="1" applyFill="1" applyAlignment="1">
      <alignment horizontal="center" vertical="center" wrapText="1"/>
    </xf>
    <xf numFmtId="10" fontId="18" fillId="12" borderId="0" xfId="0" applyNumberFormat="1" applyFont="1" applyFill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23" fillId="17" borderId="0" xfId="0" applyFont="1" applyFill="1" applyAlignment="1">
      <alignment horizontal="left" vertical="center" wrapText="1" indent="1"/>
    </xf>
    <xf numFmtId="0" fontId="70" fillId="0" borderId="0" xfId="0" applyFont="1" applyAlignment="1">
      <alignment horizontal="left" vertical="center"/>
    </xf>
    <xf numFmtId="0" fontId="46" fillId="0" borderId="0" xfId="0" applyFont="1"/>
    <xf numFmtId="2" fontId="9" fillId="0" borderId="0" xfId="0" applyNumberFormat="1" applyFont="1" applyAlignment="1">
      <alignment horizontal="center"/>
    </xf>
    <xf numFmtId="2" fontId="52" fillId="0" borderId="0" xfId="0" applyNumberFormat="1" applyFont="1" applyAlignment="1">
      <alignment horizontal="right" vertical="center" wrapText="1" indent="1"/>
    </xf>
    <xf numFmtId="3" fontId="18" fillId="0" borderId="0" xfId="3" applyNumberFormat="1"/>
    <xf numFmtId="0" fontId="25" fillId="11" borderId="73" xfId="0" applyFont="1" applyFill="1" applyBorder="1" applyAlignment="1">
      <alignment horizontal="center" vertical="center" wrapText="1"/>
    </xf>
    <xf numFmtId="0" fontId="71" fillId="0" borderId="0" xfId="0" applyFont="1" applyAlignment="1">
      <alignment vertical="center"/>
    </xf>
    <xf numFmtId="0" fontId="58" fillId="0" borderId="0" xfId="0" applyFont="1"/>
    <xf numFmtId="0" fontId="24" fillId="2" borderId="0" xfId="0" applyFont="1" applyFill="1" applyAlignment="1">
      <alignment horizontal="left" vertical="center" wrapText="1" indent="2"/>
    </xf>
    <xf numFmtId="169" fontId="22" fillId="10" borderId="44" xfId="0" applyNumberFormat="1" applyFont="1" applyFill="1" applyBorder="1" applyAlignment="1">
      <alignment horizontal="right" vertical="center" wrapText="1"/>
    </xf>
    <xf numFmtId="14" fontId="62" fillId="11" borderId="37" xfId="0" applyNumberFormat="1" applyFont="1" applyFill="1" applyBorder="1" applyAlignment="1">
      <alignment horizontal="center" vertical="center" wrapText="1"/>
    </xf>
    <xf numFmtId="0" fontId="72" fillId="0" borderId="0" xfId="0" applyFont="1"/>
    <xf numFmtId="0" fontId="16" fillId="5" borderId="0" xfId="0" applyFont="1" applyFill="1" applyAlignment="1">
      <alignment horizontal="center" vertical="center" wrapText="1"/>
    </xf>
    <xf numFmtId="0" fontId="25" fillId="11" borderId="76" xfId="0" applyFont="1" applyFill="1" applyBorder="1" applyAlignment="1">
      <alignment horizontal="center" vertical="center" wrapText="1"/>
    </xf>
    <xf numFmtId="0" fontId="0" fillId="0" borderId="41" xfId="0" applyBorder="1"/>
    <xf numFmtId="169" fontId="27" fillId="10" borderId="71" xfId="0" applyNumberFormat="1" applyFont="1" applyFill="1" applyBorder="1" applyAlignment="1">
      <alignment horizontal="right" vertical="center"/>
    </xf>
    <xf numFmtId="169" fontId="27" fillId="10" borderId="72" xfId="0" applyNumberFormat="1" applyFont="1" applyFill="1" applyBorder="1" applyAlignment="1">
      <alignment horizontal="right" vertical="center"/>
    </xf>
    <xf numFmtId="0" fontId="23" fillId="2" borderId="0" xfId="0" applyFont="1" applyFill="1" applyAlignment="1">
      <alignment horizontal="left" vertical="center" wrapText="1"/>
    </xf>
    <xf numFmtId="0" fontId="25" fillId="11" borderId="3" xfId="0" applyFont="1" applyFill="1" applyBorder="1" applyAlignment="1">
      <alignment horizontal="center" vertical="center" wrapText="1"/>
    </xf>
    <xf numFmtId="0" fontId="25" fillId="11" borderId="63" xfId="0" applyFont="1" applyFill="1" applyBorder="1" applyAlignment="1">
      <alignment horizontal="center" vertical="center" wrapText="1"/>
    </xf>
    <xf numFmtId="17" fontId="25" fillId="5" borderId="2" xfId="0" applyNumberFormat="1" applyFont="1" applyFill="1" applyBorder="1" applyAlignment="1">
      <alignment horizontal="center" vertical="center" wrapText="1"/>
    </xf>
    <xf numFmtId="0" fontId="25" fillId="5" borderId="2" xfId="0" applyFont="1" applyFill="1" applyBorder="1" applyAlignment="1">
      <alignment horizontal="center" vertical="center" wrapText="1"/>
    </xf>
    <xf numFmtId="169" fontId="22" fillId="2" borderId="42" xfId="0" applyNumberFormat="1" applyFont="1" applyFill="1" applyBorder="1" applyAlignment="1">
      <alignment horizontal="right" vertical="center" wrapText="1"/>
    </xf>
    <xf numFmtId="169" fontId="23" fillId="2" borderId="78" xfId="0" applyNumberFormat="1" applyFont="1" applyFill="1" applyBorder="1" applyAlignment="1">
      <alignment horizontal="right" vertical="center" wrapText="1"/>
    </xf>
    <xf numFmtId="169" fontId="22" fillId="2" borderId="79" xfId="0" applyNumberFormat="1" applyFont="1" applyFill="1" applyBorder="1" applyAlignment="1">
      <alignment horizontal="right" vertical="center" wrapText="1"/>
    </xf>
    <xf numFmtId="169" fontId="23" fillId="2" borderId="11" xfId="0" applyNumberFormat="1" applyFont="1" applyFill="1" applyBorder="1" applyAlignment="1">
      <alignment horizontal="right" vertical="center" wrapText="1"/>
    </xf>
    <xf numFmtId="169" fontId="22" fillId="2" borderId="12" xfId="0" applyNumberFormat="1" applyFont="1" applyFill="1" applyBorder="1" applyAlignment="1">
      <alignment horizontal="right" vertical="center" wrapText="1"/>
    </xf>
    <xf numFmtId="169" fontId="22" fillId="2" borderId="78" xfId="0" applyNumberFormat="1" applyFont="1" applyFill="1" applyBorder="1" applyAlignment="1">
      <alignment horizontal="right" vertical="center" wrapText="1"/>
    </xf>
    <xf numFmtId="169" fontId="23" fillId="2" borderId="79" xfId="0" applyNumberFormat="1" applyFont="1" applyFill="1" applyBorder="1" applyAlignment="1">
      <alignment horizontal="right" vertical="center" wrapText="1"/>
    </xf>
    <xf numFmtId="169" fontId="22" fillId="2" borderId="80" xfId="0" applyNumberFormat="1" applyFont="1" applyFill="1" applyBorder="1" applyAlignment="1">
      <alignment horizontal="right" vertical="center" wrapText="1"/>
    </xf>
    <xf numFmtId="169" fontId="23" fillId="2" borderId="81" xfId="0" applyNumberFormat="1" applyFont="1" applyFill="1" applyBorder="1" applyAlignment="1">
      <alignment horizontal="right" vertical="center" wrapText="1"/>
    </xf>
    <xf numFmtId="169" fontId="22" fillId="2" borderId="82" xfId="0" applyNumberFormat="1" applyFont="1" applyFill="1" applyBorder="1" applyAlignment="1">
      <alignment horizontal="right" vertical="center" wrapText="1"/>
    </xf>
    <xf numFmtId="168" fontId="22" fillId="2" borderId="3" xfId="0" applyNumberFormat="1" applyFont="1" applyFill="1" applyBorder="1" applyAlignment="1">
      <alignment horizontal="right" vertical="center" wrapText="1"/>
    </xf>
    <xf numFmtId="169" fontId="23" fillId="2" borderId="83" xfId="0" applyNumberFormat="1" applyFont="1" applyFill="1" applyBorder="1" applyAlignment="1">
      <alignment horizontal="right" vertical="center" wrapText="1"/>
    </xf>
    <xf numFmtId="169" fontId="23" fillId="2" borderId="84" xfId="0" applyNumberFormat="1" applyFont="1" applyFill="1" applyBorder="1" applyAlignment="1">
      <alignment horizontal="right" vertical="center" wrapText="1"/>
    </xf>
    <xf numFmtId="169" fontId="22" fillId="2" borderId="33" xfId="0" applyNumberFormat="1" applyFont="1" applyFill="1" applyBorder="1" applyAlignment="1">
      <alignment horizontal="right" vertical="center" wrapText="1"/>
    </xf>
    <xf numFmtId="169" fontId="22" fillId="2" borderId="85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25" fillId="11" borderId="2" xfId="0" applyFont="1" applyFill="1" applyBorder="1" applyAlignment="1">
      <alignment horizontal="center" vertical="center" wrapText="1"/>
    </xf>
    <xf numFmtId="169" fontId="47" fillId="0" borderId="2" xfId="0" applyNumberFormat="1" applyFont="1" applyBorder="1"/>
    <xf numFmtId="0" fontId="73" fillId="5" borderId="33" xfId="0" applyFont="1" applyFill="1" applyBorder="1" applyAlignment="1">
      <alignment horizontal="center" vertical="center" wrapText="1"/>
    </xf>
    <xf numFmtId="0" fontId="73" fillId="5" borderId="33" xfId="0" applyFont="1" applyFill="1" applyBorder="1" applyAlignment="1">
      <alignment horizontal="left" vertical="center" wrapText="1"/>
    </xf>
    <xf numFmtId="164" fontId="40" fillId="2" borderId="2" xfId="1" applyNumberFormat="1" applyFont="1" applyFill="1" applyBorder="1"/>
    <xf numFmtId="164" fontId="18" fillId="2" borderId="2" xfId="1" applyNumberFormat="1" applyFont="1" applyFill="1" applyBorder="1"/>
    <xf numFmtId="164" fontId="17" fillId="2" borderId="2" xfId="1" applyNumberFormat="1" applyFont="1" applyFill="1" applyBorder="1"/>
    <xf numFmtId="164" fontId="19" fillId="2" borderId="9" xfId="1" applyNumberFormat="1" applyFont="1" applyFill="1" applyBorder="1"/>
    <xf numFmtId="171" fontId="18" fillId="2" borderId="2" xfId="1" applyNumberFormat="1" applyFont="1" applyFill="1" applyBorder="1"/>
    <xf numFmtId="171" fontId="17" fillId="2" borderId="2" xfId="1" applyNumberFormat="1" applyFont="1" applyFill="1" applyBorder="1"/>
    <xf numFmtId="164" fontId="19" fillId="2" borderId="9" xfId="1" applyNumberFormat="1" applyFont="1" applyFill="1" applyBorder="1" applyAlignment="1">
      <alignment horizontal="right"/>
    </xf>
    <xf numFmtId="164" fontId="18" fillId="2" borderId="2" xfId="1" applyNumberFormat="1" applyFont="1" applyFill="1" applyBorder="1" applyAlignment="1">
      <alignment horizontal="right"/>
    </xf>
    <xf numFmtId="164" fontId="17" fillId="2" borderId="9" xfId="1" applyNumberFormat="1" applyFont="1" applyFill="1" applyBorder="1" applyAlignment="1">
      <alignment horizontal="right"/>
    </xf>
    <xf numFmtId="3" fontId="47" fillId="0" borderId="0" xfId="0" applyNumberFormat="1" applyFont="1"/>
    <xf numFmtId="170" fontId="18" fillId="10" borderId="29" xfId="1" applyNumberFormat="1" applyFont="1" applyFill="1" applyBorder="1" applyAlignment="1">
      <alignment horizontal="center"/>
    </xf>
    <xf numFmtId="170" fontId="18" fillId="10" borderId="31" xfId="1" applyNumberFormat="1" applyFont="1" applyFill="1" applyBorder="1" applyAlignment="1">
      <alignment horizontal="center"/>
    </xf>
    <xf numFmtId="0" fontId="25" fillId="11" borderId="86" xfId="0" applyFont="1" applyFill="1" applyBorder="1" applyAlignment="1">
      <alignment horizontal="center" vertical="center" wrapText="1"/>
    </xf>
    <xf numFmtId="0" fontId="63" fillId="7" borderId="0" xfId="0" applyFont="1" applyFill="1" applyAlignment="1">
      <alignment vertical="center" wrapText="1"/>
    </xf>
    <xf numFmtId="3" fontId="63" fillId="7" borderId="8" xfId="0" applyNumberFormat="1" applyFont="1" applyFill="1" applyBorder="1" applyAlignment="1">
      <alignment horizontal="right" vertical="center" wrapText="1"/>
    </xf>
    <xf numFmtId="169" fontId="27" fillId="12" borderId="71" xfId="0" applyNumberFormat="1" applyFont="1" applyFill="1" applyBorder="1" applyAlignment="1">
      <alignment horizontal="right" vertical="center"/>
    </xf>
    <xf numFmtId="169" fontId="27" fillId="12" borderId="87" xfId="0" applyNumberFormat="1" applyFont="1" applyFill="1" applyBorder="1" applyAlignment="1">
      <alignment horizontal="right" vertical="center"/>
    </xf>
    <xf numFmtId="164" fontId="22" fillId="12" borderId="88" xfId="0" applyNumberFormat="1" applyFont="1" applyFill="1" applyBorder="1" applyAlignment="1">
      <alignment horizontal="right" vertical="center"/>
    </xf>
    <xf numFmtId="0" fontId="25" fillId="11" borderId="36" xfId="0" applyFont="1" applyFill="1" applyBorder="1" applyAlignment="1">
      <alignment horizontal="center" vertical="center" wrapText="1"/>
    </xf>
    <xf numFmtId="0" fontId="41" fillId="4" borderId="0" xfId="0" applyFont="1" applyFill="1" applyAlignment="1">
      <alignment horizontal="left" vertical="center" wrapText="1" shrinkToFit="1"/>
    </xf>
    <xf numFmtId="0" fontId="73" fillId="5" borderId="6" xfId="0" applyFont="1" applyFill="1" applyBorder="1" applyAlignment="1">
      <alignment horizontal="center" vertical="center" wrapText="1"/>
    </xf>
    <xf numFmtId="0" fontId="73" fillId="5" borderId="77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164" fontId="6" fillId="5" borderId="3" xfId="1" applyNumberFormat="1" applyFont="1" applyFill="1" applyBorder="1" applyAlignment="1">
      <alignment horizontal="center" vertical="center" wrapText="1"/>
    </xf>
    <xf numFmtId="0" fontId="6" fillId="5" borderId="33" xfId="0" applyFont="1" applyFill="1" applyBorder="1" applyAlignment="1">
      <alignment horizontal="center" vertical="center"/>
    </xf>
    <xf numFmtId="43" fontId="8" fillId="5" borderId="3" xfId="1" applyFont="1" applyFill="1" applyBorder="1" applyAlignment="1">
      <alignment horizontal="center" vertical="center" wrapText="1"/>
    </xf>
    <xf numFmtId="0" fontId="8" fillId="9" borderId="26" xfId="0" applyFont="1" applyFill="1" applyBorder="1" applyAlignment="1">
      <alignment horizontal="center" vertical="center" readingOrder="1"/>
    </xf>
    <xf numFmtId="0" fontId="8" fillId="9" borderId="27" xfId="0" applyFont="1" applyFill="1" applyBorder="1" applyAlignment="1">
      <alignment horizontal="center" vertical="center" readingOrder="1"/>
    </xf>
    <xf numFmtId="0" fontId="6" fillId="9" borderId="28" xfId="0" applyFont="1" applyFill="1" applyBorder="1" applyAlignment="1">
      <alignment horizontal="center" vertical="center" readingOrder="1"/>
    </xf>
    <xf numFmtId="0" fontId="6" fillId="9" borderId="29" xfId="0" applyFont="1" applyFill="1" applyBorder="1" applyAlignment="1">
      <alignment horizontal="center" vertical="center" readingOrder="1"/>
    </xf>
    <xf numFmtId="0" fontId="6" fillId="8" borderId="26" xfId="0" applyFont="1" applyFill="1" applyBorder="1" applyAlignment="1">
      <alignment horizontal="center" vertical="center" readingOrder="1"/>
    </xf>
    <xf numFmtId="0" fontId="6" fillId="8" borderId="27" xfId="0" applyFont="1" applyFill="1" applyBorder="1" applyAlignment="1">
      <alignment horizontal="center" vertical="center" readingOrder="1"/>
    </xf>
    <xf numFmtId="0" fontId="41" fillId="0" borderId="0" xfId="0" applyFont="1" applyAlignment="1">
      <alignment horizontal="left" vertical="center" wrapText="1" shrinkToFit="1"/>
    </xf>
    <xf numFmtId="0" fontId="25" fillId="11" borderId="6" xfId="0" applyFont="1" applyFill="1" applyBorder="1" applyAlignment="1">
      <alignment horizontal="left" vertical="center" wrapText="1"/>
    </xf>
    <xf numFmtId="0" fontId="25" fillId="11" borderId="39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29" fillId="11" borderId="42" xfId="0" applyFont="1" applyFill="1" applyBorder="1" applyAlignment="1">
      <alignment horizontal="center" vertical="center" wrapText="1"/>
    </xf>
    <xf numFmtId="0" fontId="29" fillId="11" borderId="6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6" fillId="5" borderId="42" xfId="0" applyFont="1" applyFill="1" applyBorder="1" applyAlignment="1">
      <alignment horizontal="center" vertical="center" wrapText="1"/>
    </xf>
    <xf numFmtId="0" fontId="16" fillId="5" borderId="63" xfId="0" applyFont="1" applyFill="1" applyBorder="1" applyAlignment="1">
      <alignment horizontal="center" vertical="center" wrapText="1"/>
    </xf>
    <xf numFmtId="0" fontId="29" fillId="11" borderId="73" xfId="0" applyFont="1" applyFill="1" applyBorder="1" applyAlignment="1">
      <alignment horizontal="center" vertical="center" wrapText="1"/>
    </xf>
    <xf numFmtId="0" fontId="29" fillId="11" borderId="74" xfId="0" applyFont="1" applyFill="1" applyBorder="1" applyAlignment="1">
      <alignment horizontal="center" vertical="center" wrapText="1"/>
    </xf>
    <xf numFmtId="0" fontId="29" fillId="11" borderId="1" xfId="0" applyFont="1" applyFill="1" applyBorder="1" applyAlignment="1">
      <alignment horizontal="center" vertical="center" wrapText="1"/>
    </xf>
    <xf numFmtId="0" fontId="29" fillId="11" borderId="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62" fillId="5" borderId="15" xfId="0" applyFont="1" applyFill="1" applyBorder="1" applyAlignment="1">
      <alignment horizontal="center" vertical="center" wrapText="1"/>
    </xf>
    <xf numFmtId="0" fontId="62" fillId="5" borderId="19" xfId="0" applyFont="1" applyFill="1" applyBorder="1" applyAlignment="1">
      <alignment horizontal="center" vertical="center" wrapText="1"/>
    </xf>
    <xf numFmtId="0" fontId="62" fillId="5" borderId="21" xfId="0" applyFont="1" applyFill="1" applyBorder="1" applyAlignment="1">
      <alignment horizontal="center" vertical="center" wrapText="1"/>
    </xf>
    <xf numFmtId="0" fontId="62" fillId="5" borderId="16" xfId="0" applyFont="1" applyFill="1" applyBorder="1" applyAlignment="1">
      <alignment horizontal="center" vertical="center" wrapText="1"/>
    </xf>
    <xf numFmtId="0" fontId="62" fillId="5" borderId="13" xfId="0" applyFont="1" applyFill="1" applyBorder="1" applyAlignment="1">
      <alignment horizontal="center" vertical="center" wrapText="1"/>
    </xf>
    <xf numFmtId="0" fontId="62" fillId="5" borderId="22" xfId="0" applyFont="1" applyFill="1" applyBorder="1" applyAlignment="1">
      <alignment horizontal="center" vertical="center" wrapText="1"/>
    </xf>
    <xf numFmtId="0" fontId="62" fillId="5" borderId="67" xfId="0" applyFont="1" applyFill="1" applyBorder="1" applyAlignment="1">
      <alignment horizontal="center" vertical="center" wrapText="1"/>
    </xf>
    <xf numFmtId="0" fontId="62" fillId="5" borderId="17" xfId="0" applyFont="1" applyFill="1" applyBorder="1" applyAlignment="1">
      <alignment horizontal="center" vertical="center" wrapText="1"/>
    </xf>
    <xf numFmtId="14" fontId="62" fillId="5" borderId="17" xfId="0" applyNumberFormat="1" applyFont="1" applyFill="1" applyBorder="1" applyAlignment="1">
      <alignment horizontal="center" vertical="center" wrapText="1"/>
    </xf>
    <xf numFmtId="0" fontId="62" fillId="5" borderId="18" xfId="0" applyFont="1" applyFill="1" applyBorder="1" applyAlignment="1">
      <alignment horizontal="center" vertical="center" wrapText="1"/>
    </xf>
    <xf numFmtId="0" fontId="25" fillId="5" borderId="0" xfId="0" applyFont="1" applyFill="1" applyAlignment="1">
      <alignment horizontal="center" vertical="center" wrapText="1"/>
    </xf>
    <xf numFmtId="0" fontId="26" fillId="0" borderId="0" xfId="0" applyFont="1" applyAlignment="1">
      <alignment horizontal="left" vertical="center"/>
    </xf>
    <xf numFmtId="0" fontId="30" fillId="0" borderId="0" xfId="0" applyFont="1" applyAlignment="1">
      <alignment vertical="center" wrapText="1"/>
    </xf>
    <xf numFmtId="0" fontId="35" fillId="0" borderId="24" xfId="0" applyFont="1" applyBorder="1" applyAlignment="1">
      <alignment horizontal="center" vertical="center"/>
    </xf>
  </cellXfs>
  <cellStyles count="13">
    <cellStyle name="Estilo 1" xfId="6" xr:uid="{00000000-0005-0000-0000-000000000000}"/>
    <cellStyle name="Normal" xfId="0" builtinId="0"/>
    <cellStyle name="Normal 2" xfId="10" xr:uid="{929E576D-EC29-4ECA-B897-658D68C6951A}"/>
    <cellStyle name="Normal 2 2" xfId="7" xr:uid="{00000000-0005-0000-0000-000002000000}"/>
    <cellStyle name="Normal 3" xfId="3" xr:uid="{00000000-0005-0000-0000-000003000000}"/>
    <cellStyle name="Porcentagem" xfId="2" builtinId="5"/>
    <cellStyle name="Porcentagem 2" xfId="5" xr:uid="{00000000-0005-0000-0000-000005000000}"/>
    <cellStyle name="Vírgula" xfId="1" builtinId="3"/>
    <cellStyle name="Vírgula 2" xfId="4" xr:uid="{00000000-0005-0000-0000-000007000000}"/>
    <cellStyle name="Vírgula 2 2" xfId="12" xr:uid="{B4C2354F-82EC-4547-9E06-7526A2834902}"/>
    <cellStyle name="Vírgula 2 3" xfId="9" xr:uid="{93E6002B-44EE-4FB4-AD9C-8F18EA3E1D14}"/>
    <cellStyle name="Vírgula 3" xfId="11" xr:uid="{0E17E118-FD36-46B9-B753-34BE4A35E018}"/>
    <cellStyle name="Vírgula 4" xfId="8" xr:uid="{6007A312-5541-49DD-A91A-2D25CBA4C9D3}"/>
  </cellStyles>
  <dxfs count="155"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D9D9D9"/>
        </patternFill>
      </fill>
    </dxf>
    <dxf>
      <fill>
        <patternFill>
          <bgColor theme="0" tint="-0.14996795556505021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rgb="FFD9D9D9"/>
        </patternFill>
      </fill>
    </dxf>
    <dxf>
      <fill>
        <patternFill>
          <bgColor rgb="FFD9D9D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F2F2F2"/>
      <color rgb="FF006C21"/>
      <color rgb="FFFF66FF"/>
      <color rgb="FF46D232"/>
      <color rgb="FF86DF55"/>
      <color rgb="FF008228"/>
      <color rgb="FF00744D"/>
      <color rgb="FFD7F83C"/>
      <color rgb="FFB8E53E"/>
      <color rgb="FF003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'BP (Ativo)'!A1"/><Relationship Id="rId13" Type="http://schemas.openxmlformats.org/officeDocument/2006/relationships/hyperlink" Target="#Receita!A1"/><Relationship Id="rId18" Type="http://schemas.openxmlformats.org/officeDocument/2006/relationships/hyperlink" Target="#Endividamento!A1"/><Relationship Id="rId3" Type="http://schemas.openxmlformats.org/officeDocument/2006/relationships/hyperlink" Target="#'Balan&#231;o de Energia'!A1"/><Relationship Id="rId21" Type="http://schemas.openxmlformats.org/officeDocument/2006/relationships/image" Target="../media/image2.png"/><Relationship Id="rId7" Type="http://schemas.openxmlformats.org/officeDocument/2006/relationships/hyperlink" Target="#'Taxa de arrecada&#231;&#227;o'!A1"/><Relationship Id="rId12" Type="http://schemas.openxmlformats.org/officeDocument/2006/relationships/hyperlink" Target="#'Desempenhos das a&#231;&#245;es'!A1"/><Relationship Id="rId17" Type="http://schemas.openxmlformats.org/officeDocument/2006/relationships/hyperlink" Target="#'Resultado Financeiro'!A1"/><Relationship Id="rId2" Type="http://schemas.openxmlformats.org/officeDocument/2006/relationships/hyperlink" Target="#Usinas!A1"/><Relationship Id="rId16" Type="http://schemas.openxmlformats.org/officeDocument/2006/relationships/hyperlink" Target="#LAJIDA!A1"/><Relationship Id="rId20" Type="http://schemas.openxmlformats.org/officeDocument/2006/relationships/image" Target="../media/image1.png"/><Relationship Id="rId1" Type="http://schemas.openxmlformats.org/officeDocument/2006/relationships/hyperlink" Target="#RAP!A1"/><Relationship Id="rId6" Type="http://schemas.openxmlformats.org/officeDocument/2006/relationships/hyperlink" Target="#'DEC _ FEC'!A1"/><Relationship Id="rId11" Type="http://schemas.openxmlformats.org/officeDocument/2006/relationships/hyperlink" Target="#DFC!A1"/><Relationship Id="rId5" Type="http://schemas.openxmlformats.org/officeDocument/2006/relationships/hyperlink" Target="#'Perdas de Energia'!A1"/><Relationship Id="rId15" Type="http://schemas.openxmlformats.org/officeDocument/2006/relationships/hyperlink" Target="#'Energia comprada para revenda'!A1"/><Relationship Id="rId10" Type="http://schemas.openxmlformats.org/officeDocument/2006/relationships/hyperlink" Target="#DRE!A1"/><Relationship Id="rId19" Type="http://schemas.openxmlformats.org/officeDocument/2006/relationships/hyperlink" Target="#Investimentos!A1"/><Relationship Id="rId4" Type="http://schemas.openxmlformats.org/officeDocument/2006/relationships/hyperlink" Target="#'Venda de energia por classe'!A1"/><Relationship Id="rId9" Type="http://schemas.openxmlformats.org/officeDocument/2006/relationships/hyperlink" Target="#'BP (Passivo)'!A1"/><Relationship Id="rId14" Type="http://schemas.openxmlformats.org/officeDocument/2006/relationships/hyperlink" Target="#'Custos e Despesas'!A1"/><Relationship Id="rId22" Type="http://schemas.openxmlformats.org/officeDocument/2006/relationships/image" Target="../media/image3.sv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4" Type="http://schemas.openxmlformats.org/officeDocument/2006/relationships/hyperlink" Target="#'Cemig (Sum&#225;rio)'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7" Type="http://schemas.openxmlformats.org/officeDocument/2006/relationships/image" Target="../media/image8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6.sv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microsoft.com/office/2007/relationships/hdphoto" Target="../media/hdphoto1.wdp"/><Relationship Id="rId2" Type="http://schemas.openxmlformats.org/officeDocument/2006/relationships/image" Target="../media/image1.png"/><Relationship Id="rId1" Type="http://schemas.openxmlformats.org/officeDocument/2006/relationships/hyperlink" Target="#'Cemig (&#205;ndice)'!A1"/><Relationship Id="rId6" Type="http://schemas.openxmlformats.org/officeDocument/2006/relationships/image" Target="../media/image7.png"/><Relationship Id="rId5" Type="http://schemas.openxmlformats.org/officeDocument/2006/relationships/hyperlink" Target="#'Cemig (Sum&#225;rio)'!A1"/><Relationship Id="rId4" Type="http://schemas.openxmlformats.org/officeDocument/2006/relationships/image" Target="../media/image6.sv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4.xml.rels><?xml version="1.0" encoding="UTF-8" standalone="yes"?>
<Relationships xmlns="http://schemas.openxmlformats.org/package/2006/relationships"><Relationship Id="rId8" Type="http://schemas.openxmlformats.org/officeDocument/2006/relationships/image" Target="../media/image12.png"/><Relationship Id="rId3" Type="http://schemas.openxmlformats.org/officeDocument/2006/relationships/image" Target="../media/image6.svg"/><Relationship Id="rId7" Type="http://schemas.openxmlformats.org/officeDocument/2006/relationships/image" Target="../media/image11.pn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svg"/><Relationship Id="rId2" Type="http://schemas.openxmlformats.org/officeDocument/2006/relationships/image" Target="../media/image4.pn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5" Type="http://schemas.openxmlformats.org/officeDocument/2006/relationships/image" Target="../media/image7.png"/><Relationship Id="rId4" Type="http://schemas.openxmlformats.org/officeDocument/2006/relationships/hyperlink" Target="#'Cemig (Sum&#225;rio)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287949</xdr:colOff>
      <xdr:row>5</xdr:row>
      <xdr:rowOff>49696</xdr:rowOff>
    </xdr:from>
    <xdr:to>
      <xdr:col>4</xdr:col>
      <xdr:colOff>370775</xdr:colOff>
      <xdr:row>7</xdr:row>
      <xdr:rowOff>173936</xdr:rowOff>
    </xdr:to>
    <xdr:sp macro="" textlink="">
      <xdr:nvSpPr>
        <xdr:cNvPr id="75" name="Retângulo Arredondado 1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783249" y="1002196"/>
          <a:ext cx="1825901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operacionais</a:t>
          </a:r>
        </a:p>
      </xdr:txBody>
    </xdr:sp>
    <xdr:clientData/>
  </xdr:twoCellAnchor>
  <xdr:twoCellAnchor>
    <xdr:from>
      <xdr:col>1</xdr:col>
      <xdr:colOff>287949</xdr:colOff>
      <xdr:row>8</xdr:row>
      <xdr:rowOff>77866</xdr:rowOff>
    </xdr:from>
    <xdr:to>
      <xdr:col>4</xdr:col>
      <xdr:colOff>344874</xdr:colOff>
      <xdr:row>11</xdr:row>
      <xdr:rowOff>10366</xdr:rowOff>
    </xdr:to>
    <xdr:sp macro="" textlink="">
      <xdr:nvSpPr>
        <xdr:cNvPr id="27" name="Retângulo Arredondado 2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83CBED-D70B-4726-86B2-A5C6A2FA9BD3}"/>
            </a:ext>
          </a:extLst>
        </xdr:cNvPr>
        <xdr:cNvSpPr/>
      </xdr:nvSpPr>
      <xdr:spPr>
        <a:xfrm>
          <a:off x="783249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 Anual Permitida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RAP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11</xdr:row>
      <xdr:rowOff>59188</xdr:rowOff>
    </xdr:from>
    <xdr:to>
      <xdr:col>4</xdr:col>
      <xdr:colOff>344874</xdr:colOff>
      <xdr:row>13</xdr:row>
      <xdr:rowOff>182188</xdr:rowOff>
    </xdr:to>
    <xdr:sp macro="" textlink="">
      <xdr:nvSpPr>
        <xdr:cNvPr id="28" name="Retângulo Arredondado 2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F42A02E-9380-4618-99CB-353534D1B1E8}"/>
            </a:ext>
          </a:extLst>
        </xdr:cNvPr>
        <xdr:cNvSpPr/>
      </xdr:nvSpPr>
      <xdr:spPr>
        <a:xfrm>
          <a:off x="783249" y="215468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Usinas </a:t>
          </a:r>
        </a:p>
      </xdr:txBody>
    </xdr:sp>
    <xdr:clientData/>
  </xdr:twoCellAnchor>
  <xdr:twoCellAnchor>
    <xdr:from>
      <xdr:col>1</xdr:col>
      <xdr:colOff>287949</xdr:colOff>
      <xdr:row>14</xdr:row>
      <xdr:rowOff>28908</xdr:rowOff>
    </xdr:from>
    <xdr:to>
      <xdr:col>4</xdr:col>
      <xdr:colOff>344874</xdr:colOff>
      <xdr:row>16</xdr:row>
      <xdr:rowOff>151908</xdr:rowOff>
    </xdr:to>
    <xdr:sp macro="" textlink="">
      <xdr:nvSpPr>
        <xdr:cNvPr id="30" name="Retângulo Arredondado 26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2163551-B874-4345-BC70-7BB8A1B0A161}"/>
            </a:ext>
          </a:extLst>
        </xdr:cNvPr>
        <xdr:cNvSpPr/>
      </xdr:nvSpPr>
      <xdr:spPr>
        <a:xfrm>
          <a:off x="783249" y="269590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17</xdr:row>
      <xdr:rowOff>10230</xdr:rowOff>
    </xdr:from>
    <xdr:to>
      <xdr:col>4</xdr:col>
      <xdr:colOff>344874</xdr:colOff>
      <xdr:row>19</xdr:row>
      <xdr:rowOff>133230</xdr:rowOff>
    </xdr:to>
    <xdr:sp macro="" textlink="">
      <xdr:nvSpPr>
        <xdr:cNvPr id="31" name="Retângulo Arredondado 26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9B172E3B-0494-4757-99C5-2595838CE9DB}"/>
            </a:ext>
          </a:extLst>
        </xdr:cNvPr>
        <xdr:cNvSpPr/>
      </xdr:nvSpPr>
      <xdr:spPr>
        <a:xfrm>
          <a:off x="783249" y="324873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52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Venda da energia por</a:t>
          </a:r>
          <a:r>
            <a:rPr lang="pt-BR" sz="900" b="0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classe de consumo 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19</xdr:row>
      <xdr:rowOff>182052</xdr:rowOff>
    </xdr:from>
    <xdr:to>
      <xdr:col>4</xdr:col>
      <xdr:colOff>344874</xdr:colOff>
      <xdr:row>22</xdr:row>
      <xdr:rowOff>114552</xdr:rowOff>
    </xdr:to>
    <xdr:sp macro="" textlink="">
      <xdr:nvSpPr>
        <xdr:cNvPr id="32" name="Retângulo Arredondado 2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4203844B-84AF-485C-B3DB-9D51F284D5DA}"/>
            </a:ext>
          </a:extLst>
        </xdr:cNvPr>
        <xdr:cNvSpPr/>
      </xdr:nvSpPr>
      <xdr:spPr>
        <a:xfrm>
          <a:off x="783249" y="3801552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Perdas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energia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22</xdr:row>
      <xdr:rowOff>163374</xdr:rowOff>
    </xdr:from>
    <xdr:to>
      <xdr:col>4</xdr:col>
      <xdr:colOff>344874</xdr:colOff>
      <xdr:row>25</xdr:row>
      <xdr:rowOff>95874</xdr:rowOff>
    </xdr:to>
    <xdr:sp macro="" textlink="">
      <xdr:nvSpPr>
        <xdr:cNvPr id="36" name="Retângulo Arredondado 2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1CDCD529-9D94-494A-A3D0-CE3505609294}"/>
            </a:ext>
          </a:extLst>
        </xdr:cNvPr>
        <xdr:cNvSpPr/>
      </xdr:nvSpPr>
      <xdr:spPr>
        <a:xfrm>
          <a:off x="783249" y="4354374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Indicadores de Qualidade</a:t>
          </a:r>
          <a:endParaRPr lang="pt-BR" sz="900" b="0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DEC/FEC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287949</xdr:colOff>
      <xdr:row>25</xdr:row>
      <xdr:rowOff>145535</xdr:rowOff>
    </xdr:from>
    <xdr:to>
      <xdr:col>4</xdr:col>
      <xdr:colOff>344874</xdr:colOff>
      <xdr:row>28</xdr:row>
      <xdr:rowOff>78035</xdr:rowOff>
    </xdr:to>
    <xdr:sp macro="" textlink="">
      <xdr:nvSpPr>
        <xdr:cNvPr id="37" name="Retângulo Arredondado 26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E602E155-15EE-47BD-A86C-23F4B0EEA621}"/>
            </a:ext>
          </a:extLst>
        </xdr:cNvPr>
        <xdr:cNvSpPr/>
      </xdr:nvSpPr>
      <xdr:spPr>
        <a:xfrm>
          <a:off x="783249" y="4908035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Taxa de 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               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arrecadação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8</xdr:row>
      <xdr:rowOff>77866</xdr:rowOff>
    </xdr:from>
    <xdr:to>
      <xdr:col>11</xdr:col>
      <xdr:colOff>519138</xdr:colOff>
      <xdr:row>11</xdr:row>
      <xdr:rowOff>10366</xdr:rowOff>
    </xdr:to>
    <xdr:sp macro="" textlink="">
      <xdr:nvSpPr>
        <xdr:cNvPr id="39" name="Retângulo Arredondado 26">
          <a:hlinkClick xmlns:r="http://schemas.openxmlformats.org/officeDocument/2006/relationships" r:id="rId8"/>
          <a:extLst>
            <a:ext uri="{FF2B5EF4-FFF2-40B4-BE49-F238E27FC236}">
              <a16:creationId xmlns:a16="http://schemas.microsoft.com/office/drawing/2014/main" id="{99004EC6-B54E-402F-A3C6-DC0BE16439FC}"/>
            </a:ext>
          </a:extLst>
        </xdr:cNvPr>
        <xdr:cNvSpPr/>
      </xdr:nvSpPr>
      <xdr:spPr>
        <a:xfrm>
          <a:off x="5024688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Ativo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11</xdr:row>
      <xdr:rowOff>50456</xdr:rowOff>
    </xdr:from>
    <xdr:to>
      <xdr:col>11</xdr:col>
      <xdr:colOff>519138</xdr:colOff>
      <xdr:row>13</xdr:row>
      <xdr:rowOff>173456</xdr:rowOff>
    </xdr:to>
    <xdr:sp macro="" textlink="">
      <xdr:nvSpPr>
        <xdr:cNvPr id="40" name="Retângulo Arredondado 2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3A329FBC-8CFD-43B1-AE12-2A97E79132ED}"/>
            </a:ext>
          </a:extLst>
        </xdr:cNvPr>
        <xdr:cNvSpPr/>
      </xdr:nvSpPr>
      <xdr:spPr>
        <a:xfrm>
          <a:off x="5024688" y="214595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Balanço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Patrimonial - Passivo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17</xdr:row>
      <xdr:rowOff>14315</xdr:rowOff>
    </xdr:from>
    <xdr:to>
      <xdr:col>11</xdr:col>
      <xdr:colOff>519138</xdr:colOff>
      <xdr:row>19</xdr:row>
      <xdr:rowOff>137315</xdr:rowOff>
    </xdr:to>
    <xdr:sp macro="" textlink="">
      <xdr:nvSpPr>
        <xdr:cNvPr id="41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36A770C1-8973-4FB8-AF16-A7E3C03AB271}"/>
            </a:ext>
          </a:extLst>
        </xdr:cNvPr>
        <xdr:cNvSpPr/>
      </xdr:nvSpPr>
      <xdr:spPr>
        <a:xfrm>
          <a:off x="5024688" y="3252815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19</xdr:row>
      <xdr:rowOff>177248</xdr:rowOff>
    </xdr:from>
    <xdr:to>
      <xdr:col>11</xdr:col>
      <xdr:colOff>519138</xdr:colOff>
      <xdr:row>22</xdr:row>
      <xdr:rowOff>109748</xdr:rowOff>
    </xdr:to>
    <xdr:sp macro="" textlink="">
      <xdr:nvSpPr>
        <xdr:cNvPr id="43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B1F554A8-6DC6-4122-829B-433B6FDAEB1F}"/>
            </a:ext>
          </a:extLst>
        </xdr:cNvPr>
        <xdr:cNvSpPr/>
      </xdr:nvSpPr>
      <xdr:spPr>
        <a:xfrm>
          <a:off x="5024688" y="379674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462213</xdr:colOff>
      <xdr:row>22</xdr:row>
      <xdr:rowOff>159893</xdr:rowOff>
    </xdr:from>
    <xdr:to>
      <xdr:col>11</xdr:col>
      <xdr:colOff>519138</xdr:colOff>
      <xdr:row>25</xdr:row>
      <xdr:rowOff>92393</xdr:rowOff>
    </xdr:to>
    <xdr:sp macro="" textlink="">
      <xdr:nvSpPr>
        <xdr:cNvPr id="45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61845D86-F43C-4984-B250-CDAB76F40D4F}"/>
            </a:ext>
          </a:extLst>
        </xdr:cNvPr>
        <xdr:cNvSpPr/>
      </xdr:nvSpPr>
      <xdr:spPr>
        <a:xfrm>
          <a:off x="5024688" y="435089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Desempenho das ações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8</xdr:row>
      <xdr:rowOff>77866</xdr:rowOff>
    </xdr:from>
    <xdr:to>
      <xdr:col>8</xdr:col>
      <xdr:colOff>112615</xdr:colOff>
      <xdr:row>11</xdr:row>
      <xdr:rowOff>10366</xdr:rowOff>
    </xdr:to>
    <xdr:sp macro="" textlink="">
      <xdr:nvSpPr>
        <xdr:cNvPr id="46" name="Retângulo Arredondado 26">
          <a:hlinkClick xmlns:r="http://schemas.openxmlformats.org/officeDocument/2006/relationships" r:id="rId13"/>
          <a:extLst>
            <a:ext uri="{FF2B5EF4-FFF2-40B4-BE49-F238E27FC236}">
              <a16:creationId xmlns:a16="http://schemas.microsoft.com/office/drawing/2014/main" id="{F433FE6F-C67C-4293-BDC0-D54E12D86A6F}"/>
            </a:ext>
          </a:extLst>
        </xdr:cNvPr>
        <xdr:cNvSpPr/>
      </xdr:nvSpPr>
      <xdr:spPr>
        <a:xfrm>
          <a:off x="2875090" y="160186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Receita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Operacional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11</xdr:row>
      <xdr:rowOff>56868</xdr:rowOff>
    </xdr:from>
    <xdr:to>
      <xdr:col>8</xdr:col>
      <xdr:colOff>112615</xdr:colOff>
      <xdr:row>13</xdr:row>
      <xdr:rowOff>179868</xdr:rowOff>
    </xdr:to>
    <xdr:sp macro="" textlink="">
      <xdr:nvSpPr>
        <xdr:cNvPr id="47" name="Retângulo Arredondado 26">
          <a:hlinkClick xmlns:r="http://schemas.openxmlformats.org/officeDocument/2006/relationships" r:id="rId14"/>
          <a:extLst>
            <a:ext uri="{FF2B5EF4-FFF2-40B4-BE49-F238E27FC236}">
              <a16:creationId xmlns:a16="http://schemas.microsoft.com/office/drawing/2014/main" id="{B165ACFC-0D0C-4951-B80E-661DC16327D5}"/>
            </a:ext>
          </a:extLst>
        </xdr:cNvPr>
        <xdr:cNvSpPr/>
      </xdr:nvSpPr>
      <xdr:spPr>
        <a:xfrm>
          <a:off x="2875090" y="2152368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25200" rtlCol="0" anchor="ctr"/>
        <a:lstStyle/>
        <a:p>
          <a:pPr algn="ctr"/>
          <a:endParaRPr lang="pt-BR" sz="1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Custos e despesas operacionais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14</xdr:row>
      <xdr:rowOff>35870</xdr:rowOff>
    </xdr:from>
    <xdr:to>
      <xdr:col>8</xdr:col>
      <xdr:colOff>112615</xdr:colOff>
      <xdr:row>16</xdr:row>
      <xdr:rowOff>158870</xdr:rowOff>
    </xdr:to>
    <xdr:sp macro="" textlink="">
      <xdr:nvSpPr>
        <xdr:cNvPr id="48" name="Retângulo Arredondado 26">
          <a:hlinkClick xmlns:r="http://schemas.openxmlformats.org/officeDocument/2006/relationships" r:id="rId15"/>
          <a:extLst>
            <a:ext uri="{FF2B5EF4-FFF2-40B4-BE49-F238E27FC236}">
              <a16:creationId xmlns:a16="http://schemas.microsoft.com/office/drawing/2014/main" id="{F648B47A-F923-45C9-A1DB-C2CADB461642}"/>
            </a:ext>
          </a:extLst>
        </xdr:cNvPr>
        <xdr:cNvSpPr/>
      </xdr:nvSpPr>
      <xdr:spPr>
        <a:xfrm>
          <a:off x="2875090" y="2702870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rtlCol="0" anchor="ctr"/>
        <a:lstStyle/>
        <a:p>
          <a:pPr algn="ctr"/>
          <a:endParaRPr lang="pt-BR" sz="200" b="1">
            <a:solidFill>
              <a:schemeClr val="lt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Energia</a:t>
          </a:r>
          <a:r>
            <a:rPr lang="pt-BR" sz="900" b="1" baseline="0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comprada para                         revenda</a:t>
          </a:r>
          <a:endParaRPr lang="pt-BR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/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463905</xdr:colOff>
      <xdr:row>14</xdr:row>
      <xdr:rowOff>23046</xdr:rowOff>
    </xdr:from>
    <xdr:to>
      <xdr:col>11</xdr:col>
      <xdr:colOff>520829</xdr:colOff>
      <xdr:row>16</xdr:row>
      <xdr:rowOff>146046</xdr:rowOff>
    </xdr:to>
    <xdr:sp macro="" textlink="">
      <xdr:nvSpPr>
        <xdr:cNvPr id="49" name="Retângulo Arredondado 26">
          <a:hlinkClick xmlns:r="http://schemas.openxmlformats.org/officeDocument/2006/relationships" r:id="rId16"/>
          <a:extLst>
            <a:ext uri="{FF2B5EF4-FFF2-40B4-BE49-F238E27FC236}">
              <a16:creationId xmlns:a16="http://schemas.microsoft.com/office/drawing/2014/main" id="{85A417AF-8AC9-40AA-8B12-5D21C2DE1E90}"/>
            </a:ext>
          </a:extLst>
        </xdr:cNvPr>
        <xdr:cNvSpPr/>
      </xdr:nvSpPr>
      <xdr:spPr>
        <a:xfrm>
          <a:off x="5026380" y="2690046"/>
          <a:ext cx="1799999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LAJIDA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17</xdr:row>
      <xdr:rowOff>21088</xdr:rowOff>
    </xdr:from>
    <xdr:to>
      <xdr:col>8</xdr:col>
      <xdr:colOff>112615</xdr:colOff>
      <xdr:row>19</xdr:row>
      <xdr:rowOff>144088</xdr:rowOff>
    </xdr:to>
    <xdr:sp macro="" textlink="">
      <xdr:nvSpPr>
        <xdr:cNvPr id="50" name="Retângulo Arredondado 26">
          <a:hlinkClick xmlns:r="http://schemas.openxmlformats.org/officeDocument/2006/relationships" r:id="rId17"/>
          <a:extLst>
            <a:ext uri="{FF2B5EF4-FFF2-40B4-BE49-F238E27FC236}">
              <a16:creationId xmlns:a16="http://schemas.microsoft.com/office/drawing/2014/main" id="{5FF318BF-167D-4A32-A246-FF92CDD0F0B1}"/>
            </a:ext>
          </a:extLst>
        </xdr:cNvPr>
        <xdr:cNvSpPr/>
      </xdr:nvSpPr>
      <xdr:spPr>
        <a:xfrm>
          <a:off x="2885976" y="3259588"/>
          <a:ext cx="1812246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Resultado Financeiro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55690</xdr:colOff>
      <xdr:row>20</xdr:row>
      <xdr:rowOff>88</xdr:rowOff>
    </xdr:from>
    <xdr:to>
      <xdr:col>8</xdr:col>
      <xdr:colOff>112615</xdr:colOff>
      <xdr:row>22</xdr:row>
      <xdr:rowOff>123088</xdr:rowOff>
    </xdr:to>
    <xdr:sp macro="" textlink="">
      <xdr:nvSpPr>
        <xdr:cNvPr id="51" name="Retângulo Arredondado 26">
          <a:hlinkClick xmlns:r="http://schemas.openxmlformats.org/officeDocument/2006/relationships" r:id="rId18"/>
          <a:extLst>
            <a:ext uri="{FF2B5EF4-FFF2-40B4-BE49-F238E27FC236}">
              <a16:creationId xmlns:a16="http://schemas.microsoft.com/office/drawing/2014/main" id="{81E880C6-C406-4627-806B-874EE371BC0E}"/>
            </a:ext>
          </a:extLst>
        </xdr:cNvPr>
        <xdr:cNvSpPr/>
      </xdr:nvSpPr>
      <xdr:spPr>
        <a:xfrm>
          <a:off x="2885976" y="3810088"/>
          <a:ext cx="1812246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Endividamento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67607</xdr:colOff>
      <xdr:row>22</xdr:row>
      <xdr:rowOff>181743</xdr:rowOff>
    </xdr:from>
    <xdr:to>
      <xdr:col>8</xdr:col>
      <xdr:colOff>124533</xdr:colOff>
      <xdr:row>25</xdr:row>
      <xdr:rowOff>114243</xdr:rowOff>
    </xdr:to>
    <xdr:sp macro="" textlink="">
      <xdr:nvSpPr>
        <xdr:cNvPr id="54" name="Retângulo Arredondado 26">
          <a:hlinkClick xmlns:r="http://schemas.openxmlformats.org/officeDocument/2006/relationships" r:id="rId19"/>
          <a:extLst>
            <a:ext uri="{FF2B5EF4-FFF2-40B4-BE49-F238E27FC236}">
              <a16:creationId xmlns:a16="http://schemas.microsoft.com/office/drawing/2014/main" id="{18B1E3E5-8DDF-4829-BAA1-0E134E8CAFD5}"/>
            </a:ext>
          </a:extLst>
        </xdr:cNvPr>
        <xdr:cNvSpPr/>
      </xdr:nvSpPr>
      <xdr:spPr>
        <a:xfrm>
          <a:off x="2897893" y="4372743"/>
          <a:ext cx="1812247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Investimentos</a:t>
          </a:r>
        </a:p>
      </xdr:txBody>
    </xdr:sp>
    <xdr:clientData/>
  </xdr:twoCellAnchor>
  <xdr:twoCellAnchor>
    <xdr:from>
      <xdr:col>5</xdr:col>
      <xdr:colOff>65687</xdr:colOff>
      <xdr:row>5</xdr:row>
      <xdr:rowOff>49696</xdr:rowOff>
    </xdr:from>
    <xdr:to>
      <xdr:col>11</xdr:col>
      <xdr:colOff>537796</xdr:colOff>
      <xdr:row>7</xdr:row>
      <xdr:rowOff>173936</xdr:rowOff>
    </xdr:to>
    <xdr:sp macro="" textlink="">
      <xdr:nvSpPr>
        <xdr:cNvPr id="56" name="Retângulo Arredondado 1">
          <a:extLst>
            <a:ext uri="{FF2B5EF4-FFF2-40B4-BE49-F238E27FC236}">
              <a16:creationId xmlns:a16="http://schemas.microsoft.com/office/drawing/2014/main" id="{6AB00D2E-3F68-42CB-B3A6-12C57888AB4E}"/>
            </a:ext>
          </a:extLst>
        </xdr:cNvPr>
        <xdr:cNvSpPr/>
      </xdr:nvSpPr>
      <xdr:spPr>
        <a:xfrm>
          <a:off x="2380995" y="1192696"/>
          <a:ext cx="3945070" cy="505240"/>
        </a:xfrm>
        <a:prstGeom prst="roundRect">
          <a:avLst>
            <a:gd name="adj" fmla="val 9474"/>
          </a:avLst>
        </a:prstGeom>
        <a:solidFill>
          <a:srgbClr val="B8E53E"/>
        </a:solidFill>
        <a:ln>
          <a:noFill/>
        </a:ln>
        <a:effectLst>
          <a:outerShdw blurRad="152400" dist="317500" dir="5400000" sx="90000" sy="-19000" rotWithShape="0">
            <a:prstClr val="black">
              <a:alpha val="15000"/>
            </a:prstClr>
          </a:outerShdw>
        </a:effectLst>
        <a:scene3d>
          <a:camera prst="orthographicFront"/>
          <a:lightRig rig="threePt" dir="t"/>
        </a:scene3d>
        <a:sp3d>
          <a:bevelT w="165100" prst="coolSlant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Dados</a:t>
          </a:r>
          <a:r>
            <a:rPr lang="pt-BR" sz="1200" b="1" baseline="0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pt-BR" sz="1200" b="1">
              <a:solidFill>
                <a:srgbClr val="00744D"/>
              </a:solidFill>
              <a:latin typeface="Arial" panose="020B0604020202020204" pitchFamily="34" charset="0"/>
              <a:cs typeface="Arial" panose="020B0604020202020204" pitchFamily="34" charset="0"/>
            </a:rPr>
            <a:t>financeiros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0</xdr:colOff>
      <xdr:row>5</xdr:row>
      <xdr:rowOff>11906</xdr:rowOff>
    </xdr:to>
    <xdr:grpSp>
      <xdr:nvGrpSpPr>
        <xdr:cNvPr id="4" name="Agrupar 3">
          <a:extLst>
            <a:ext uri="{FF2B5EF4-FFF2-40B4-BE49-F238E27FC236}">
              <a16:creationId xmlns:a16="http://schemas.microsoft.com/office/drawing/2014/main" id="{30F23A53-EFA3-A967-13C1-567873CA1E1C}"/>
            </a:ext>
          </a:extLst>
        </xdr:cNvPr>
        <xdr:cNvGrpSpPr/>
      </xdr:nvGrpSpPr>
      <xdr:grpSpPr>
        <a:xfrm>
          <a:off x="0" y="0"/>
          <a:ext cx="7781925" cy="964406"/>
          <a:chOff x="0" y="0"/>
          <a:chExt cx="7781925" cy="964406"/>
        </a:xfrm>
      </xdr:grpSpPr>
      <xdr:sp macro="" textlink="">
        <xdr:nvSpPr>
          <xdr:cNvPr id="77" name="Retângulo 76">
            <a:extLst>
              <a:ext uri="{FF2B5EF4-FFF2-40B4-BE49-F238E27FC236}">
                <a16:creationId xmlns:a16="http://schemas.microsoft.com/office/drawing/2014/main" id="{C4A784F6-B110-0243-9E59-53256EEA663D}"/>
              </a:ext>
            </a:extLst>
          </xdr:cNvPr>
          <xdr:cNvSpPr/>
        </xdr:nvSpPr>
        <xdr:spPr>
          <a:xfrm>
            <a:off x="0" y="0"/>
            <a:ext cx="7781925" cy="964406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21" name="Elements">
            <a:extLst>
              <a:ext uri="{FF2B5EF4-FFF2-40B4-BE49-F238E27FC236}">
                <a16:creationId xmlns:a16="http://schemas.microsoft.com/office/drawing/2014/main" id="{923FA114-181F-45E8-9CC6-DE553421D409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20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072374" y="9525"/>
            <a:ext cx="5706835" cy="828675"/>
          </a:xfrm>
          <a:prstGeom prst="rect">
            <a:avLst/>
          </a:prstGeom>
        </xdr:spPr>
      </xdr:pic>
      <xdr:sp macro="" textlink="">
        <xdr:nvSpPr>
          <xdr:cNvPr id="34" name="CaixaDeTexto 33">
            <a:extLst>
              <a:ext uri="{FF2B5EF4-FFF2-40B4-BE49-F238E27FC236}">
                <a16:creationId xmlns:a16="http://schemas.microsoft.com/office/drawing/2014/main" id="{00000000-0008-0000-0000-000022000000}"/>
              </a:ext>
              <a:ext uri="{147F2762-F138-4A5C-976F-8EAC2B608ADB}">
                <a16:predDERef xmlns:a16="http://schemas.microsoft.com/office/drawing/2014/main" pred="{00000000-0008-0000-0000-000021000000}"/>
              </a:ext>
            </a:extLst>
          </xdr:cNvPr>
          <xdr:cNvSpPr txBox="1"/>
        </xdr:nvSpPr>
        <xdr:spPr>
          <a:xfrm>
            <a:off x="0" y="194814"/>
            <a:ext cx="7781924" cy="59134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indent="0" algn="ctr"/>
            <a:r>
              <a:rPr lang="en-US" sz="4000" b="1">
                <a:solidFill>
                  <a:schemeClr val="bg1"/>
                </a:solidFill>
                <a:latin typeface="+mj-lt"/>
                <a:ea typeface="+mj-lt"/>
                <a:cs typeface="+mj-lt"/>
              </a:rPr>
              <a:t>RESULTADOS </a:t>
            </a:r>
            <a:r>
              <a:rPr lang="en-US" sz="4000" b="1" i="0" u="none" strike="noStrike">
                <a:solidFill>
                  <a:schemeClr val="bg1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2</a:t>
            </a:r>
            <a:r>
              <a:rPr lang="en-US" sz="4000" b="1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T2</a:t>
            </a:r>
            <a:r>
              <a:rPr lang="en-US" sz="4000" b="1" i="0" u="none" strike="noStrike">
                <a:solidFill>
                  <a:schemeClr val="bg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4</a:t>
            </a:r>
          </a:p>
        </xdr:txBody>
      </xdr:sp>
      <xdr:grpSp>
        <xdr:nvGrpSpPr>
          <xdr:cNvPr id="94" name="Agrupar 93">
            <a:extLst>
              <a:ext uri="{FF2B5EF4-FFF2-40B4-BE49-F238E27FC236}">
                <a16:creationId xmlns:a16="http://schemas.microsoft.com/office/drawing/2014/main" id="{54546553-820F-5CAF-AFE5-CA839D275B8F}"/>
              </a:ext>
            </a:extLst>
          </xdr:cNvPr>
          <xdr:cNvGrpSpPr/>
        </xdr:nvGrpSpPr>
        <xdr:grpSpPr>
          <a:xfrm>
            <a:off x="143083" y="134748"/>
            <a:ext cx="1077403" cy="269134"/>
            <a:chOff x="6118195" y="543218"/>
            <a:chExt cx="5181503" cy="1290478"/>
          </a:xfrm>
        </xdr:grpSpPr>
        <xdr:sp macro="" textlink="">
          <xdr:nvSpPr>
            <xdr:cNvPr id="96" name="Forma Livre: Forma 95">
              <a:extLst>
                <a:ext uri="{FF2B5EF4-FFF2-40B4-BE49-F238E27FC236}">
                  <a16:creationId xmlns:a16="http://schemas.microsoft.com/office/drawing/2014/main" id="{BF1CC725-2B0F-0F7C-A5A7-7E355E3B8424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97" name="Gráfico 1">
              <a:extLst>
                <a:ext uri="{FF2B5EF4-FFF2-40B4-BE49-F238E27FC236}">
                  <a16:creationId xmlns:a16="http://schemas.microsoft.com/office/drawing/2014/main" id="{86D54B2C-148A-B4FF-C124-A30E6A496E9A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98" name="Forma Livre: Forma 97">
                <a:extLst>
                  <a:ext uri="{FF2B5EF4-FFF2-40B4-BE49-F238E27FC236}">
                    <a16:creationId xmlns:a16="http://schemas.microsoft.com/office/drawing/2014/main" id="{4AE2BE27-A1F1-0DAF-CFBA-16D7C503636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99" name="Forma Livre: Forma 98">
                <a:extLst>
                  <a:ext uri="{FF2B5EF4-FFF2-40B4-BE49-F238E27FC236}">
                    <a16:creationId xmlns:a16="http://schemas.microsoft.com/office/drawing/2014/main" id="{382E6814-FF77-3C9F-D13A-1F219DBDEF70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0" name="Forma Livre: Forma 99">
                <a:extLst>
                  <a:ext uri="{FF2B5EF4-FFF2-40B4-BE49-F238E27FC236}">
                    <a16:creationId xmlns:a16="http://schemas.microsoft.com/office/drawing/2014/main" id="{1388E622-3AA8-C396-6366-F06DA85762FC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101" name="Forma Livre: Forma 100">
                <a:extLst>
                  <a:ext uri="{FF2B5EF4-FFF2-40B4-BE49-F238E27FC236}">
                    <a16:creationId xmlns:a16="http://schemas.microsoft.com/office/drawing/2014/main" id="{B84A1E98-FFD0-2769-697A-DE4C74EB625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04" name="Agrupar 103">
            <a:extLst>
              <a:ext uri="{FF2B5EF4-FFF2-40B4-BE49-F238E27FC236}">
                <a16:creationId xmlns:a16="http://schemas.microsoft.com/office/drawing/2014/main" id="{16E68AB0-887F-3F2D-8A7C-548DA26AAE5D}"/>
              </a:ext>
            </a:extLst>
          </xdr:cNvPr>
          <xdr:cNvGrpSpPr/>
        </xdr:nvGrpSpPr>
        <xdr:grpSpPr>
          <a:xfrm>
            <a:off x="143083" y="483113"/>
            <a:ext cx="1278902" cy="266995"/>
            <a:chOff x="665660" y="804361"/>
            <a:chExt cx="4972991" cy="984371"/>
          </a:xfrm>
        </xdr:grpSpPr>
        <xdr:pic>
          <xdr:nvPicPr>
            <xdr:cNvPr id="105" name="Gráfico 15">
              <a:extLst>
                <a:ext uri="{FF2B5EF4-FFF2-40B4-BE49-F238E27FC236}">
                  <a16:creationId xmlns:a16="http://schemas.microsoft.com/office/drawing/2014/main" id="{028E236B-B681-829C-2649-A52BF1A0158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1">
              <a:extLst>
                <a:ext uri="{96DAC541-7B7A-43D3-8B79-37D633B846F1}">
                  <asvg:svgBlip xmlns:asvg="http://schemas.microsoft.com/office/drawing/2016/SVG/main" r:embed="rId22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06" name="Elipse 105">
              <a:extLst>
                <a:ext uri="{FF2B5EF4-FFF2-40B4-BE49-F238E27FC236}">
                  <a16:creationId xmlns:a16="http://schemas.microsoft.com/office/drawing/2014/main" id="{7E46839D-D645-898E-C6BB-D6B0746FDC27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7" name="Retângulo: Cantos Arredondados 106">
              <a:extLst>
                <a:ext uri="{FF2B5EF4-FFF2-40B4-BE49-F238E27FC236}">
                  <a16:creationId xmlns:a16="http://schemas.microsoft.com/office/drawing/2014/main" id="{C57DEF6F-E504-6464-8EA6-0D78BB45A1A6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108" name="Elipse 107">
              <a:extLst>
                <a:ext uri="{FF2B5EF4-FFF2-40B4-BE49-F238E27FC236}">
                  <a16:creationId xmlns:a16="http://schemas.microsoft.com/office/drawing/2014/main" id="{F0218665-1B97-ED56-1CB6-CE280D34460D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</xdr:grpSp>
    <xdr:clientData/>
  </xdr:twoCellAnchor>
  <xdr:twoCellAnchor>
    <xdr:from>
      <xdr:col>8</xdr:col>
      <xdr:colOff>452688</xdr:colOff>
      <xdr:row>16</xdr:row>
      <xdr:rowOff>186136</xdr:rowOff>
    </xdr:from>
    <xdr:to>
      <xdr:col>11</xdr:col>
      <xdr:colOff>509613</xdr:colOff>
      <xdr:row>19</xdr:row>
      <xdr:rowOff>118636</xdr:rowOff>
    </xdr:to>
    <xdr:sp macro="" textlink="">
      <xdr:nvSpPr>
        <xdr:cNvPr id="42" name="Retângulo Arredondado 26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D96BB933-8E42-BDDF-4536-7BDFC107C950}"/>
            </a:ext>
          </a:extLst>
        </xdr:cNvPr>
        <xdr:cNvSpPr/>
      </xdr:nvSpPr>
      <xdr:spPr>
        <a:xfrm>
          <a:off x="5015163" y="3234136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</a:t>
          </a:r>
          <a:b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</a:br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dos Resultados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452688</xdr:colOff>
      <xdr:row>19</xdr:row>
      <xdr:rowOff>187301</xdr:rowOff>
    </xdr:from>
    <xdr:to>
      <xdr:col>11</xdr:col>
      <xdr:colOff>509613</xdr:colOff>
      <xdr:row>22</xdr:row>
      <xdr:rowOff>119801</xdr:rowOff>
    </xdr:to>
    <xdr:sp macro="" textlink="">
      <xdr:nvSpPr>
        <xdr:cNvPr id="44" name="Retângulo Arredondado 26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E7C001B7-94BE-C5B6-0413-27823DE35F4B}"/>
            </a:ext>
          </a:extLst>
        </xdr:cNvPr>
        <xdr:cNvSpPr/>
      </xdr:nvSpPr>
      <xdr:spPr>
        <a:xfrm>
          <a:off x="5015163" y="3806801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Demonstrações dos </a:t>
          </a:r>
        </a:p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Fluxos de caixa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8</xdr:col>
      <xdr:colOff>452688</xdr:colOff>
      <xdr:row>22</xdr:row>
      <xdr:rowOff>178943</xdr:rowOff>
    </xdr:from>
    <xdr:to>
      <xdr:col>11</xdr:col>
      <xdr:colOff>509613</xdr:colOff>
      <xdr:row>25</xdr:row>
      <xdr:rowOff>111443</xdr:rowOff>
    </xdr:to>
    <xdr:sp macro="" textlink="">
      <xdr:nvSpPr>
        <xdr:cNvPr id="52" name="Retângulo Arredondado 26">
          <a:hlinkClick xmlns:r="http://schemas.openxmlformats.org/officeDocument/2006/relationships" r:id="rId12"/>
          <a:extLst>
            <a:ext uri="{FF2B5EF4-FFF2-40B4-BE49-F238E27FC236}">
              <a16:creationId xmlns:a16="http://schemas.microsoft.com/office/drawing/2014/main" id="{B4ED79AA-83BA-7790-63EE-95F7AE7743C1}"/>
            </a:ext>
          </a:extLst>
        </xdr:cNvPr>
        <xdr:cNvSpPr/>
      </xdr:nvSpPr>
      <xdr:spPr>
        <a:xfrm>
          <a:off x="5015163" y="4369943"/>
          <a:ext cx="1800000" cy="504000"/>
        </a:xfrm>
        <a:prstGeom prst="roundRect">
          <a:avLst>
            <a:gd name="adj" fmla="val 9459"/>
          </a:avLst>
        </a:prstGeom>
        <a:solidFill>
          <a:srgbClr val="008228"/>
        </a:solidFill>
        <a:ln>
          <a:noFill/>
        </a:ln>
        <a:scene3d>
          <a:camera prst="orthographicFront"/>
          <a:lightRig rig="threePt" dir="t"/>
        </a:scene3d>
        <a:sp3d>
          <a:bevelT prst="angl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rtlCol="0" anchor="ctr"/>
        <a:lstStyle/>
        <a:p>
          <a:pPr algn="ctr"/>
          <a:r>
            <a:rPr lang="pt-BR" sz="900" b="1">
              <a:solidFill>
                <a:schemeClr val="lt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Desempenho das ações </a:t>
          </a:r>
          <a:endParaRPr lang="pt-BR" sz="9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5912</xdr:rowOff>
    </xdr:from>
    <xdr:to>
      <xdr:col>7</xdr:col>
      <xdr:colOff>235324</xdr:colOff>
      <xdr:row>5</xdr:row>
      <xdr:rowOff>111671</xdr:rowOff>
    </xdr:to>
    <xdr:grpSp>
      <xdr:nvGrpSpPr>
        <xdr:cNvPr id="5" name="Agrupar 4">
          <a:extLst>
            <a:ext uri="{FF2B5EF4-FFF2-40B4-BE49-F238E27FC236}">
              <a16:creationId xmlns:a16="http://schemas.microsoft.com/office/drawing/2014/main" id="{D8538834-B12A-1A57-1462-0D119124E4C0}"/>
            </a:ext>
          </a:extLst>
        </xdr:cNvPr>
        <xdr:cNvGrpSpPr/>
      </xdr:nvGrpSpPr>
      <xdr:grpSpPr>
        <a:xfrm>
          <a:off x="0" y="5912"/>
          <a:ext cx="6927672" cy="1016846"/>
          <a:chOff x="0" y="19050"/>
          <a:chExt cx="9043442" cy="1276145"/>
        </a:xfrm>
      </xdr:grpSpPr>
      <xdr:sp macro="" textlink="">
        <xdr:nvSpPr>
          <xdr:cNvPr id="13" name="Retângulo 12">
            <a:extLst>
              <a:ext uri="{FF2B5EF4-FFF2-40B4-BE49-F238E27FC236}">
                <a16:creationId xmlns:a16="http://schemas.microsoft.com/office/drawing/2014/main" id="{E668A2B3-9638-D42B-C8E6-57B23A986EB4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14" name="Elements">
            <a:extLst>
              <a:ext uri="{FF2B5EF4-FFF2-40B4-BE49-F238E27FC236}">
                <a16:creationId xmlns:a16="http://schemas.microsoft.com/office/drawing/2014/main" id="{C3C1B71C-BA9C-933E-804D-FC49E386616E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16" name="Agrupar 15">
            <a:extLst>
              <a:ext uri="{FF2B5EF4-FFF2-40B4-BE49-F238E27FC236}">
                <a16:creationId xmlns:a16="http://schemas.microsoft.com/office/drawing/2014/main" id="{DC74CC40-DBD9-0D8E-39A2-E58D6FE98BE3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22" name="Forma Livre: Forma 21">
              <a:extLst>
                <a:ext uri="{FF2B5EF4-FFF2-40B4-BE49-F238E27FC236}">
                  <a16:creationId xmlns:a16="http://schemas.microsoft.com/office/drawing/2014/main" id="{7EB1F41D-2059-DD82-75AC-6AEF80450142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23" name="Gráfico 1">
              <a:extLst>
                <a:ext uri="{FF2B5EF4-FFF2-40B4-BE49-F238E27FC236}">
                  <a16:creationId xmlns:a16="http://schemas.microsoft.com/office/drawing/2014/main" id="{56D06CCF-2152-AC39-F884-F155A752A5EE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24" name="Forma Livre: Forma 23">
                <a:extLst>
                  <a:ext uri="{FF2B5EF4-FFF2-40B4-BE49-F238E27FC236}">
                    <a16:creationId xmlns:a16="http://schemas.microsoft.com/office/drawing/2014/main" id="{3D90A9CD-BB99-9FBE-CACD-BA0EDF549FFC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5" name="Forma Livre: Forma 24">
                <a:extLst>
                  <a:ext uri="{FF2B5EF4-FFF2-40B4-BE49-F238E27FC236}">
                    <a16:creationId xmlns:a16="http://schemas.microsoft.com/office/drawing/2014/main" id="{09398F0D-9CB6-AEAD-41AE-C7FD84D69B09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6" name="Forma Livre: Forma 25">
                <a:extLst>
                  <a:ext uri="{FF2B5EF4-FFF2-40B4-BE49-F238E27FC236}">
                    <a16:creationId xmlns:a16="http://schemas.microsoft.com/office/drawing/2014/main" id="{76F1722F-6EFE-270C-11AC-8C73E561D903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27" name="Forma Livre: Forma 26">
                <a:extLst>
                  <a:ext uri="{FF2B5EF4-FFF2-40B4-BE49-F238E27FC236}">
                    <a16:creationId xmlns:a16="http://schemas.microsoft.com/office/drawing/2014/main" id="{05D443A6-9787-1DBE-D75D-BAC8AA2844FE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17" name="Agrupar 16">
            <a:extLst>
              <a:ext uri="{FF2B5EF4-FFF2-40B4-BE49-F238E27FC236}">
                <a16:creationId xmlns:a16="http://schemas.microsoft.com/office/drawing/2014/main" id="{315F2170-E701-1946-D286-29788047D777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18" name="Gráfico 15">
              <a:extLst>
                <a:ext uri="{FF2B5EF4-FFF2-40B4-BE49-F238E27FC236}">
                  <a16:creationId xmlns:a16="http://schemas.microsoft.com/office/drawing/2014/main" id="{16AD1673-B89F-28DF-C8E7-E681F40B130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19" name="Elipse 18">
              <a:extLst>
                <a:ext uri="{FF2B5EF4-FFF2-40B4-BE49-F238E27FC236}">
                  <a16:creationId xmlns:a16="http://schemas.microsoft.com/office/drawing/2014/main" id="{78B99C6B-0E06-688E-6AAB-A6ADFEDAEDC3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20" name="Retângulo: Cantos Arredondados 19">
              <a:extLst>
                <a:ext uri="{FF2B5EF4-FFF2-40B4-BE49-F238E27FC236}">
                  <a16:creationId xmlns:a16="http://schemas.microsoft.com/office/drawing/2014/main" id="{F62F6F08-C999-D606-44AA-5A60DC130F77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21" name="Elipse 20">
              <a:extLst>
                <a:ext uri="{FF2B5EF4-FFF2-40B4-BE49-F238E27FC236}">
                  <a16:creationId xmlns:a16="http://schemas.microsoft.com/office/drawing/2014/main" id="{0CC25ADC-74D5-2D42-2F60-8E3B7865A83B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2" name="Agrupar 1">
            <a:extLst>
              <a:ext uri="{FF2B5EF4-FFF2-40B4-BE49-F238E27FC236}">
                <a16:creationId xmlns:a16="http://schemas.microsoft.com/office/drawing/2014/main" id="{E4B0CCB3-9F2D-227F-CC91-BCEE300DD772}"/>
              </a:ext>
            </a:extLst>
          </xdr:cNvPr>
          <xdr:cNvGrpSpPr/>
        </xdr:nvGrpSpPr>
        <xdr:grpSpPr>
          <a:xfrm>
            <a:off x="7945292" y="566999"/>
            <a:ext cx="1021409" cy="728196"/>
            <a:chOff x="7843598" y="421255"/>
            <a:chExt cx="1019230" cy="738643"/>
          </a:xfrm>
        </xdr:grpSpPr>
        <xdr:sp macro="" textlink="">
          <xdr:nvSpPr>
            <xdr:cNvPr id="11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100-00000B000000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10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00000000-0008-0000-0100-00000A000000}"/>
                </a:ext>
              </a:extLst>
            </xdr:cNvPr>
            <xdr:cNvSpPr/>
          </xdr:nvSpPr>
          <xdr:spPr>
            <a:xfrm>
              <a:off x="7843598" y="465307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8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556470</xdr:colOff>
      <xdr:row>0</xdr:row>
      <xdr:rowOff>120657</xdr:rowOff>
    </xdr:from>
    <xdr:to>
      <xdr:col>6</xdr:col>
      <xdr:colOff>387236</xdr:colOff>
      <xdr:row>4</xdr:row>
      <xdr:rowOff>59270</xdr:rowOff>
    </xdr:to>
    <xdr:sp macro="" textlink="">
      <xdr:nvSpPr>
        <xdr:cNvPr id="15" name="CaixaDeTexto 14">
          <a:extLst>
            <a:ext uri="{FF2B5EF4-FFF2-40B4-BE49-F238E27FC236}">
              <a16:creationId xmlns:a16="http://schemas.microsoft.com/office/drawing/2014/main" id="{51B8850B-2013-56FA-4D79-006B52788A0B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210796" y="120657"/>
          <a:ext cx="5098505" cy="6674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29766</xdr:colOff>
      <xdr:row>0</xdr:row>
      <xdr:rowOff>5912</xdr:rowOff>
    </xdr:from>
    <xdr:to>
      <xdr:col>7</xdr:col>
      <xdr:colOff>265090</xdr:colOff>
      <xdr:row>5</xdr:row>
      <xdr:rowOff>111671</xdr:rowOff>
    </xdr:to>
    <xdr:grpSp>
      <xdr:nvGrpSpPr>
        <xdr:cNvPr id="28" name="Agrupar 27">
          <a:extLst>
            <a:ext uri="{FF2B5EF4-FFF2-40B4-BE49-F238E27FC236}">
              <a16:creationId xmlns:a16="http://schemas.microsoft.com/office/drawing/2014/main" id="{F4B4BEEE-A844-4FAC-F86F-3CAF115006A2}"/>
            </a:ext>
          </a:extLst>
        </xdr:cNvPr>
        <xdr:cNvGrpSpPr/>
      </xdr:nvGrpSpPr>
      <xdr:grpSpPr>
        <a:xfrm>
          <a:off x="29766" y="5912"/>
          <a:ext cx="6927672" cy="1016846"/>
          <a:chOff x="0" y="19050"/>
          <a:chExt cx="9043442" cy="1276145"/>
        </a:xfrm>
      </xdr:grpSpPr>
      <xdr:sp macro="" textlink="">
        <xdr:nvSpPr>
          <xdr:cNvPr id="29" name="Retângulo 28">
            <a:extLst>
              <a:ext uri="{FF2B5EF4-FFF2-40B4-BE49-F238E27FC236}">
                <a16:creationId xmlns:a16="http://schemas.microsoft.com/office/drawing/2014/main" id="{87A66886-1E3B-9F92-2DFD-EB5C54938445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30" name="Elements">
            <a:extLst>
              <a:ext uri="{FF2B5EF4-FFF2-40B4-BE49-F238E27FC236}">
                <a16:creationId xmlns:a16="http://schemas.microsoft.com/office/drawing/2014/main" id="{55A1FB7D-3717-7D31-C4B5-0DE1DD94237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31" name="Agrupar 30">
            <a:extLst>
              <a:ext uri="{FF2B5EF4-FFF2-40B4-BE49-F238E27FC236}">
                <a16:creationId xmlns:a16="http://schemas.microsoft.com/office/drawing/2014/main" id="{32A243F4-D94A-BF28-4365-33E6171F4078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40" name="Forma Livre: Forma 39">
              <a:extLst>
                <a:ext uri="{FF2B5EF4-FFF2-40B4-BE49-F238E27FC236}">
                  <a16:creationId xmlns:a16="http://schemas.microsoft.com/office/drawing/2014/main" id="{5B541407-BA1F-6B35-6494-7801D3DC3BEF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41" name="Gráfico 1">
              <a:extLst>
                <a:ext uri="{FF2B5EF4-FFF2-40B4-BE49-F238E27FC236}">
                  <a16:creationId xmlns:a16="http://schemas.microsoft.com/office/drawing/2014/main" id="{BDA94E66-6F0B-B6A4-D739-34AD098183D1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42" name="Forma Livre: Forma 41">
                <a:extLst>
                  <a:ext uri="{FF2B5EF4-FFF2-40B4-BE49-F238E27FC236}">
                    <a16:creationId xmlns:a16="http://schemas.microsoft.com/office/drawing/2014/main" id="{1779AC41-C8CA-DE7F-B92D-3040DA254204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3" name="Forma Livre: Forma 42">
                <a:extLst>
                  <a:ext uri="{FF2B5EF4-FFF2-40B4-BE49-F238E27FC236}">
                    <a16:creationId xmlns:a16="http://schemas.microsoft.com/office/drawing/2014/main" id="{94FB968B-9F7A-5476-6115-A7047B0A328C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4" name="Forma Livre: Forma 43">
                <a:extLst>
                  <a:ext uri="{FF2B5EF4-FFF2-40B4-BE49-F238E27FC236}">
                    <a16:creationId xmlns:a16="http://schemas.microsoft.com/office/drawing/2014/main" id="{BEA8EAAC-B34E-4D7E-D674-5A740FBDAA43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45" name="Forma Livre: Forma 44">
                <a:extLst>
                  <a:ext uri="{FF2B5EF4-FFF2-40B4-BE49-F238E27FC236}">
                    <a16:creationId xmlns:a16="http://schemas.microsoft.com/office/drawing/2014/main" id="{075B325F-D52D-6D95-DB5D-4B6EE1416DA5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32" name="Agrupar 31">
            <a:extLst>
              <a:ext uri="{FF2B5EF4-FFF2-40B4-BE49-F238E27FC236}">
                <a16:creationId xmlns:a16="http://schemas.microsoft.com/office/drawing/2014/main" id="{E617D150-43C5-EC4D-2CFB-438B0AE14B17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36" name="Gráfico 15">
              <a:extLst>
                <a:ext uri="{FF2B5EF4-FFF2-40B4-BE49-F238E27FC236}">
                  <a16:creationId xmlns:a16="http://schemas.microsoft.com/office/drawing/2014/main" id="{3FB8D99E-D574-0EC2-18EE-A00AE09170B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37" name="Elipse 36">
              <a:extLst>
                <a:ext uri="{FF2B5EF4-FFF2-40B4-BE49-F238E27FC236}">
                  <a16:creationId xmlns:a16="http://schemas.microsoft.com/office/drawing/2014/main" id="{7F1BD2EF-683E-FBA8-6FDD-2A130D31539B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38" name="Retângulo: Cantos Arredondados 37">
              <a:extLst>
                <a:ext uri="{FF2B5EF4-FFF2-40B4-BE49-F238E27FC236}">
                  <a16:creationId xmlns:a16="http://schemas.microsoft.com/office/drawing/2014/main" id="{BD299E0F-1673-9B97-1F6C-DCDE400A2C6E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39" name="Elipse 38">
              <a:extLst>
                <a:ext uri="{FF2B5EF4-FFF2-40B4-BE49-F238E27FC236}">
                  <a16:creationId xmlns:a16="http://schemas.microsoft.com/office/drawing/2014/main" id="{5839F3D1-E765-E530-EE51-B10F949BA78F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33" name="Agrupar 32">
            <a:extLst>
              <a:ext uri="{FF2B5EF4-FFF2-40B4-BE49-F238E27FC236}">
                <a16:creationId xmlns:a16="http://schemas.microsoft.com/office/drawing/2014/main" id="{4AD7BEAF-CB71-029C-7BCD-CBCB46F56DE4}"/>
              </a:ext>
            </a:extLst>
          </xdr:cNvPr>
          <xdr:cNvGrpSpPr/>
        </xdr:nvGrpSpPr>
        <xdr:grpSpPr>
          <a:xfrm>
            <a:off x="7945292" y="566999"/>
            <a:ext cx="1021409" cy="728196"/>
            <a:chOff x="7843598" y="421255"/>
            <a:chExt cx="1019230" cy="738643"/>
          </a:xfrm>
        </xdr:grpSpPr>
        <xdr:sp macro="" textlink="">
          <xdr:nvSpPr>
            <xdr:cNvPr id="34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314E6830-55A3-51DD-0AA0-8FABCE59278D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35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D70BCC56-DE37-BD04-0FAC-5E2218FD0A00}"/>
                </a:ext>
              </a:extLst>
            </xdr:cNvPr>
            <xdr:cNvSpPr/>
          </xdr:nvSpPr>
          <xdr:spPr>
            <a:xfrm>
              <a:off x="7843598" y="465307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8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830597</xdr:colOff>
      <xdr:row>0</xdr:row>
      <xdr:rowOff>120657</xdr:rowOff>
    </xdr:from>
    <xdr:to>
      <xdr:col>6</xdr:col>
      <xdr:colOff>172642</xdr:colOff>
      <xdr:row>4</xdr:row>
      <xdr:rowOff>59270</xdr:rowOff>
    </xdr:to>
    <xdr:sp macro="" textlink="">
      <xdr:nvSpPr>
        <xdr:cNvPr id="46" name="CaixaDeTexto 45">
          <a:extLst>
            <a:ext uri="{FF2B5EF4-FFF2-40B4-BE49-F238E27FC236}">
              <a16:creationId xmlns:a16="http://schemas.microsoft.com/office/drawing/2014/main" id="{3F1DC8CE-C9A6-43F1-14AC-3F52DB8DD631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85441" y="120657"/>
          <a:ext cx="4610560" cy="65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>
    <xdr:from>
      <xdr:col>0</xdr:col>
      <xdr:colOff>8539</xdr:colOff>
      <xdr:row>0</xdr:row>
      <xdr:rowOff>6594</xdr:rowOff>
    </xdr:from>
    <xdr:to>
      <xdr:col>7</xdr:col>
      <xdr:colOff>347868</xdr:colOff>
      <xdr:row>5</xdr:row>
      <xdr:rowOff>119680</xdr:rowOff>
    </xdr:to>
    <xdr:grpSp>
      <xdr:nvGrpSpPr>
        <xdr:cNvPr id="47" name="Agrupar 46">
          <a:extLst>
            <a:ext uri="{FF2B5EF4-FFF2-40B4-BE49-F238E27FC236}">
              <a16:creationId xmlns:a16="http://schemas.microsoft.com/office/drawing/2014/main" id="{A44FDA5A-BA35-75B4-2784-42BD4E76A5F0}"/>
            </a:ext>
          </a:extLst>
        </xdr:cNvPr>
        <xdr:cNvGrpSpPr/>
      </xdr:nvGrpSpPr>
      <xdr:grpSpPr>
        <a:xfrm>
          <a:off x="8539" y="6594"/>
          <a:ext cx="7031677" cy="1024173"/>
          <a:chOff x="0" y="19050"/>
          <a:chExt cx="9043442" cy="1285297"/>
        </a:xfrm>
      </xdr:grpSpPr>
      <xdr:sp macro="" textlink="">
        <xdr:nvSpPr>
          <xdr:cNvPr id="48" name="Retângulo 47">
            <a:extLst>
              <a:ext uri="{FF2B5EF4-FFF2-40B4-BE49-F238E27FC236}">
                <a16:creationId xmlns:a16="http://schemas.microsoft.com/office/drawing/2014/main" id="{927CC91D-F82C-7F2A-0291-2E6B94CC2C96}"/>
              </a:ext>
            </a:extLst>
          </xdr:cNvPr>
          <xdr:cNvSpPr/>
        </xdr:nvSpPr>
        <xdr:spPr>
          <a:xfrm>
            <a:off x="0" y="19050"/>
            <a:ext cx="9043442" cy="1082842"/>
          </a:xfrm>
          <a:prstGeom prst="rect">
            <a:avLst/>
          </a:prstGeom>
          <a:gradFill flip="none" rotWithShape="1">
            <a:gsLst>
              <a:gs pos="14536">
                <a:srgbClr val="B8E53E"/>
              </a:gs>
              <a:gs pos="1000">
                <a:srgbClr val="D7F83C"/>
              </a:gs>
              <a:gs pos="95000">
                <a:srgbClr val="00744D"/>
              </a:gs>
            </a:gsLst>
            <a:lin ang="16200000" scaled="1"/>
            <a:tileRect/>
          </a:gra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pt-BR"/>
          </a:p>
        </xdr:txBody>
      </xdr:sp>
      <xdr:pic>
        <xdr:nvPicPr>
          <xdr:cNvPr id="49" name="Elements">
            <a:extLst>
              <a:ext uri="{FF2B5EF4-FFF2-40B4-BE49-F238E27FC236}">
                <a16:creationId xmlns:a16="http://schemas.microsoft.com/office/drawing/2014/main" id="{5758F622-13B6-22DA-1477-AA21E4CC158E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1" cstate="email">
            <a:alphaModFix amt="31000"/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583" t="47588" r="15070" b="9748"/>
          <a:stretch/>
        </xdr:blipFill>
        <xdr:spPr>
          <a:xfrm>
            <a:off x="2408324" y="29745"/>
            <a:ext cx="6631962" cy="930442"/>
          </a:xfrm>
          <a:prstGeom prst="rect">
            <a:avLst/>
          </a:prstGeom>
        </xdr:spPr>
      </xdr:pic>
      <xdr:grpSp>
        <xdr:nvGrpSpPr>
          <xdr:cNvPr id="50" name="Agrupar 49">
            <a:extLst>
              <a:ext uri="{FF2B5EF4-FFF2-40B4-BE49-F238E27FC236}">
                <a16:creationId xmlns:a16="http://schemas.microsoft.com/office/drawing/2014/main" id="{D388326E-9029-E1FA-FC4E-9A981765E808}"/>
              </a:ext>
            </a:extLst>
          </xdr:cNvPr>
          <xdr:cNvGrpSpPr/>
        </xdr:nvGrpSpPr>
        <xdr:grpSpPr>
          <a:xfrm>
            <a:off x="166278" y="170346"/>
            <a:ext cx="1252059" cy="302186"/>
            <a:chOff x="6118195" y="543218"/>
            <a:chExt cx="5181503" cy="1290478"/>
          </a:xfrm>
        </xdr:grpSpPr>
        <xdr:sp macro="" textlink="">
          <xdr:nvSpPr>
            <xdr:cNvPr id="59" name="Forma Livre: Forma 58">
              <a:extLst>
                <a:ext uri="{FF2B5EF4-FFF2-40B4-BE49-F238E27FC236}">
                  <a16:creationId xmlns:a16="http://schemas.microsoft.com/office/drawing/2014/main" id="{13B459A0-BFA5-B7DC-226E-C2C35B299211}"/>
                </a:ext>
              </a:extLst>
            </xdr:cNvPr>
            <xdr:cNvSpPr/>
          </xdr:nvSpPr>
          <xdr:spPr>
            <a:xfrm>
              <a:off x="7513226" y="1037121"/>
              <a:ext cx="513968" cy="303752"/>
            </a:xfrm>
            <a:custGeom>
              <a:avLst/>
              <a:gdLst>
                <a:gd name="connsiteX0" fmla="*/ 153257 w 513968"/>
                <a:gd name="connsiteY0" fmla="*/ 95 h 303752"/>
                <a:gd name="connsiteX1" fmla="*/ 0 w 513968"/>
                <a:gd name="connsiteY1" fmla="*/ 151829 h 303752"/>
                <a:gd name="connsiteX2" fmla="*/ 152971 w 513968"/>
                <a:gd name="connsiteY2" fmla="*/ 303752 h 303752"/>
                <a:gd name="connsiteX3" fmla="*/ 360807 w 513968"/>
                <a:gd name="connsiteY3" fmla="*/ 303467 h 303752"/>
                <a:gd name="connsiteX4" fmla="*/ 513969 w 513968"/>
                <a:gd name="connsiteY4" fmla="*/ 151733 h 303752"/>
                <a:gd name="connsiteX5" fmla="*/ 360902 w 513968"/>
                <a:gd name="connsiteY5" fmla="*/ 0 h 303752"/>
                <a:gd name="connsiteX6" fmla="*/ 153162 w 513968"/>
                <a:gd name="connsiteY6" fmla="*/ 0 h 30375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</a:cxnLst>
              <a:rect l="l" t="t" r="r" b="b"/>
              <a:pathLst>
                <a:path w="513968" h="303752">
                  <a:moveTo>
                    <a:pt x="153257" y="95"/>
                  </a:moveTo>
                  <a:cubicBezTo>
                    <a:pt x="68580" y="95"/>
                    <a:pt x="0" y="68104"/>
                    <a:pt x="0" y="151829"/>
                  </a:cubicBezTo>
                  <a:cubicBezTo>
                    <a:pt x="0" y="235553"/>
                    <a:pt x="68294" y="303752"/>
                    <a:pt x="152971" y="303752"/>
                  </a:cubicBezTo>
                  <a:lnTo>
                    <a:pt x="360807" y="303467"/>
                  </a:lnTo>
                  <a:cubicBezTo>
                    <a:pt x="445484" y="303467"/>
                    <a:pt x="513969" y="235458"/>
                    <a:pt x="513969" y="151733"/>
                  </a:cubicBezTo>
                  <a:cubicBezTo>
                    <a:pt x="513969" y="68009"/>
                    <a:pt x="445484" y="0"/>
                    <a:pt x="360902" y="0"/>
                  </a:cubicBezTo>
                  <a:lnTo>
                    <a:pt x="153162" y="0"/>
                  </a:lnTo>
                  <a:close/>
                </a:path>
              </a:pathLst>
            </a:custGeom>
            <a:gradFill>
              <a:gsLst>
                <a:gs pos="10000">
                  <a:srgbClr val="FFFF00"/>
                </a:gs>
                <a:gs pos="90000">
                  <a:srgbClr val="46D232"/>
                </a:gs>
              </a:gsLst>
              <a:lin ang="0" scaled="1"/>
            </a:gradFill>
            <a:ln w="9525" cap="flat">
              <a:noFill/>
              <a:prstDash val="solid"/>
              <a:miter/>
            </a:ln>
          </xdr:spPr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endParaRPr lang="pt-BR"/>
            </a:p>
          </xdr:txBody>
        </xdr:sp>
        <xdr:grpSp>
          <xdr:nvGrpSpPr>
            <xdr:cNvPr id="60" name="Gráfico 1">
              <a:extLst>
                <a:ext uri="{FF2B5EF4-FFF2-40B4-BE49-F238E27FC236}">
                  <a16:creationId xmlns:a16="http://schemas.microsoft.com/office/drawing/2014/main" id="{A2370B02-4ACC-6917-AF87-3C6F3B8A6E3B}"/>
                </a:ext>
              </a:extLst>
            </xdr:cNvPr>
            <xdr:cNvGrpSpPr/>
          </xdr:nvGrpSpPr>
          <xdr:grpSpPr>
            <a:xfrm>
              <a:off x="6118195" y="543218"/>
              <a:ext cx="5181503" cy="1290478"/>
              <a:chOff x="6118195" y="543218"/>
              <a:chExt cx="5181503" cy="1290478"/>
            </a:xfrm>
            <a:solidFill>
              <a:schemeClr val="accent1"/>
            </a:solidFill>
          </xdr:grpSpPr>
          <xdr:sp macro="" textlink="">
            <xdr:nvSpPr>
              <xdr:cNvPr id="61" name="Forma Livre: Forma 60">
                <a:extLst>
                  <a:ext uri="{FF2B5EF4-FFF2-40B4-BE49-F238E27FC236}">
                    <a16:creationId xmlns:a16="http://schemas.microsoft.com/office/drawing/2014/main" id="{E03EDCA2-01EB-ED1F-EF5B-C8901A8BF9ED}"/>
                  </a:ext>
                </a:extLst>
              </xdr:cNvPr>
              <xdr:cNvSpPr/>
            </xdr:nvSpPr>
            <xdr:spPr>
              <a:xfrm>
                <a:off x="9627871" y="543726"/>
                <a:ext cx="306228" cy="1289399"/>
              </a:xfrm>
              <a:custGeom>
                <a:avLst/>
                <a:gdLst>
                  <a:gd name="connsiteX0" fmla="*/ 306038 w 306228"/>
                  <a:gd name="connsiteY0" fmla="*/ 1138142 h 1289399"/>
                  <a:gd name="connsiteX1" fmla="*/ 152971 w 306228"/>
                  <a:gd name="connsiteY1" fmla="*/ 1289399 h 1289399"/>
                  <a:gd name="connsiteX2" fmla="*/ 0 w 306228"/>
                  <a:gd name="connsiteY2" fmla="*/ 1138142 h 1289399"/>
                  <a:gd name="connsiteX3" fmla="*/ 0 w 306228"/>
                  <a:gd name="connsiteY3" fmla="*/ 151733 h 1289399"/>
                  <a:gd name="connsiteX4" fmla="*/ 152971 w 306228"/>
                  <a:gd name="connsiteY4" fmla="*/ 0 h 1289399"/>
                  <a:gd name="connsiteX5" fmla="*/ 306038 w 306228"/>
                  <a:gd name="connsiteY5" fmla="*/ 151257 h 1289399"/>
                  <a:gd name="connsiteX6" fmla="*/ 306229 w 306228"/>
                  <a:gd name="connsiteY6" fmla="*/ 1138142 h 1289399"/>
                  <a:gd name="connsiteX7" fmla="*/ 306038 w 306228"/>
                  <a:gd name="connsiteY7" fmla="*/ 1138142 h 1289399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</a:cxnLst>
                <a:rect l="l" t="t" r="r" b="b"/>
                <a:pathLst>
                  <a:path w="306228" h="1289399">
                    <a:moveTo>
                      <a:pt x="306038" y="1138142"/>
                    </a:moveTo>
                    <a:cubicBezTo>
                      <a:pt x="305848" y="1221867"/>
                      <a:pt x="237554" y="1289399"/>
                      <a:pt x="152971" y="1289399"/>
                    </a:cubicBezTo>
                    <a:cubicBezTo>
                      <a:pt x="68389" y="1289399"/>
                      <a:pt x="190" y="1221867"/>
                      <a:pt x="0" y="1138142"/>
                    </a:cubicBezTo>
                    <a:lnTo>
                      <a:pt x="0" y="151733"/>
                    </a:lnTo>
                    <a:cubicBezTo>
                      <a:pt x="286" y="67723"/>
                      <a:pt x="68485" y="0"/>
                      <a:pt x="152971" y="0"/>
                    </a:cubicBezTo>
                    <a:cubicBezTo>
                      <a:pt x="237458" y="0"/>
                      <a:pt x="305848" y="67723"/>
                      <a:pt x="306038" y="151257"/>
                    </a:cubicBezTo>
                    <a:lnTo>
                      <a:pt x="306229" y="1138142"/>
                    </a:lnTo>
                    <a:lnTo>
                      <a:pt x="306038" y="1138142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2" name="Forma Livre: Forma 61">
                <a:extLst>
                  <a:ext uri="{FF2B5EF4-FFF2-40B4-BE49-F238E27FC236}">
                    <a16:creationId xmlns:a16="http://schemas.microsoft.com/office/drawing/2014/main" id="{94CB0495-8C8E-092F-557A-7DFF555841B6}"/>
                  </a:ext>
                </a:extLst>
              </xdr:cNvPr>
              <xdr:cNvSpPr/>
            </xdr:nvSpPr>
            <xdr:spPr>
              <a:xfrm>
                <a:off x="9998203" y="543250"/>
                <a:ext cx="1301495" cy="1290446"/>
              </a:xfrm>
              <a:custGeom>
                <a:avLst/>
                <a:gdLst>
                  <a:gd name="connsiteX0" fmla="*/ 974122 w 1301495"/>
                  <a:gd name="connsiteY0" fmla="*/ 85344 h 1290446"/>
                  <a:gd name="connsiteX1" fmla="*/ 1052418 w 1301495"/>
                  <a:gd name="connsiteY1" fmla="*/ 217932 h 1290446"/>
                  <a:gd name="connsiteX2" fmla="*/ 899446 w 1301495"/>
                  <a:gd name="connsiteY2" fmla="*/ 369761 h 1290446"/>
                  <a:gd name="connsiteX3" fmla="*/ 818674 w 1301495"/>
                  <a:gd name="connsiteY3" fmla="*/ 346996 h 1290446"/>
                  <a:gd name="connsiteX4" fmla="*/ 650367 w 1301495"/>
                  <a:gd name="connsiteY4" fmla="*/ 303752 h 1290446"/>
                  <a:gd name="connsiteX5" fmla="*/ 305848 w 1301495"/>
                  <a:gd name="connsiteY5" fmla="*/ 645224 h 1290446"/>
                  <a:gd name="connsiteX6" fmla="*/ 650367 w 1301495"/>
                  <a:gd name="connsiteY6" fmla="*/ 986981 h 1290446"/>
                  <a:gd name="connsiteX7" fmla="*/ 958977 w 1301495"/>
                  <a:gd name="connsiteY7" fmla="*/ 797243 h 1290446"/>
                  <a:gd name="connsiteX8" fmla="*/ 650748 w 1301495"/>
                  <a:gd name="connsiteY8" fmla="*/ 797243 h 1290446"/>
                  <a:gd name="connsiteX9" fmla="*/ 497586 w 1301495"/>
                  <a:gd name="connsiteY9" fmla="*/ 645319 h 1290446"/>
                  <a:gd name="connsiteX10" fmla="*/ 650748 w 1301495"/>
                  <a:gd name="connsiteY10" fmla="*/ 493681 h 1290446"/>
                  <a:gd name="connsiteX11" fmla="*/ 1148239 w 1301495"/>
                  <a:gd name="connsiteY11" fmla="*/ 493395 h 1290446"/>
                  <a:gd name="connsiteX12" fmla="*/ 1301496 w 1301495"/>
                  <a:gd name="connsiteY12" fmla="*/ 645224 h 1290446"/>
                  <a:gd name="connsiteX13" fmla="*/ 650653 w 1301495"/>
                  <a:gd name="connsiteY13" fmla="*/ 1290447 h 1290446"/>
                  <a:gd name="connsiteX14" fmla="*/ 0 w 1301495"/>
                  <a:gd name="connsiteY14" fmla="*/ 645224 h 1290446"/>
                  <a:gd name="connsiteX15" fmla="*/ 650748 w 1301495"/>
                  <a:gd name="connsiteY15" fmla="*/ 0 h 1290446"/>
                  <a:gd name="connsiteX16" fmla="*/ 974217 w 1301495"/>
                  <a:gd name="connsiteY16" fmla="*/ 85153 h 1290446"/>
                  <a:gd name="connsiteX17" fmla="*/ 974026 w 1301495"/>
                  <a:gd name="connsiteY17" fmla="*/ 85344 h 129044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</a:cxnLst>
                <a:rect l="l" t="t" r="r" b="b"/>
                <a:pathLst>
                  <a:path w="1301495" h="1290446">
                    <a:moveTo>
                      <a:pt x="974122" y="85344"/>
                    </a:moveTo>
                    <a:cubicBezTo>
                      <a:pt x="1020794" y="111347"/>
                      <a:pt x="1052418" y="160877"/>
                      <a:pt x="1052418" y="217932"/>
                    </a:cubicBezTo>
                    <a:cubicBezTo>
                      <a:pt x="1052418" y="301752"/>
                      <a:pt x="983932" y="369761"/>
                      <a:pt x="899446" y="369761"/>
                    </a:cubicBezTo>
                    <a:cubicBezTo>
                      <a:pt x="869823" y="369761"/>
                      <a:pt x="842105" y="361474"/>
                      <a:pt x="818674" y="346996"/>
                    </a:cubicBezTo>
                    <a:cubicBezTo>
                      <a:pt x="768667" y="319278"/>
                      <a:pt x="711422" y="303752"/>
                      <a:pt x="650367" y="303752"/>
                    </a:cubicBezTo>
                    <a:cubicBezTo>
                      <a:pt x="459962" y="303752"/>
                      <a:pt x="305848" y="456533"/>
                      <a:pt x="305848" y="645224"/>
                    </a:cubicBezTo>
                    <a:cubicBezTo>
                      <a:pt x="305848" y="833914"/>
                      <a:pt x="459962" y="986981"/>
                      <a:pt x="650367" y="986981"/>
                    </a:cubicBezTo>
                    <a:cubicBezTo>
                      <a:pt x="785622" y="986981"/>
                      <a:pt x="902684" y="909733"/>
                      <a:pt x="958977" y="797243"/>
                    </a:cubicBezTo>
                    <a:lnTo>
                      <a:pt x="650748" y="797243"/>
                    </a:lnTo>
                    <a:cubicBezTo>
                      <a:pt x="566356" y="797243"/>
                      <a:pt x="497586" y="729329"/>
                      <a:pt x="497586" y="645319"/>
                    </a:cubicBezTo>
                    <a:cubicBezTo>
                      <a:pt x="497586" y="561308"/>
                      <a:pt x="566356" y="493681"/>
                      <a:pt x="650748" y="493681"/>
                    </a:cubicBezTo>
                    <a:cubicBezTo>
                      <a:pt x="982408" y="493681"/>
                      <a:pt x="1148239" y="493586"/>
                      <a:pt x="1148239" y="493395"/>
                    </a:cubicBezTo>
                    <a:cubicBezTo>
                      <a:pt x="1233011" y="493681"/>
                      <a:pt x="1301496" y="561499"/>
                      <a:pt x="1301496" y="645224"/>
                    </a:cubicBezTo>
                    <a:cubicBezTo>
                      <a:pt x="1301496" y="1001649"/>
                      <a:pt x="1010126" y="1290447"/>
                      <a:pt x="650653" y="1290447"/>
                    </a:cubicBezTo>
                    <a:cubicBezTo>
                      <a:pt x="291179" y="1290447"/>
                      <a:pt x="0" y="1001649"/>
                      <a:pt x="0" y="645224"/>
                    </a:cubicBezTo>
                    <a:cubicBezTo>
                      <a:pt x="0" y="288798"/>
                      <a:pt x="291465" y="0"/>
                      <a:pt x="650748" y="0"/>
                    </a:cubicBezTo>
                    <a:cubicBezTo>
                      <a:pt x="768382" y="0"/>
                      <a:pt x="878681" y="30956"/>
                      <a:pt x="974217" y="85153"/>
                    </a:cubicBezTo>
                    <a:lnTo>
                      <a:pt x="974026" y="85344"/>
                    </a:lnTo>
                    <a:close/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3" name="Forma Livre: Forma 62">
                <a:extLst>
                  <a:ext uri="{FF2B5EF4-FFF2-40B4-BE49-F238E27FC236}">
                    <a16:creationId xmlns:a16="http://schemas.microsoft.com/office/drawing/2014/main" id="{8E9CA30C-4BB6-2A4B-D6A0-81DF93C815AE}"/>
                  </a:ext>
                </a:extLst>
              </xdr:cNvPr>
              <xdr:cNvSpPr/>
            </xdr:nvSpPr>
            <xdr:spPr>
              <a:xfrm>
                <a:off x="6118195" y="543345"/>
                <a:ext cx="2060543" cy="1290066"/>
              </a:xfrm>
              <a:custGeom>
                <a:avLst/>
                <a:gdLst>
                  <a:gd name="connsiteX0" fmla="*/ 993362 w 2060543"/>
                  <a:gd name="connsiteY0" fmla="*/ 96774 h 1290066"/>
                  <a:gd name="connsiteX1" fmla="*/ 1067372 w 2060543"/>
                  <a:gd name="connsiteY1" fmla="*/ 227457 h 1290066"/>
                  <a:gd name="connsiteX2" fmla="*/ 914210 w 2060543"/>
                  <a:gd name="connsiteY2" fmla="*/ 379381 h 1290066"/>
                  <a:gd name="connsiteX3" fmla="*/ 831628 w 2060543"/>
                  <a:gd name="connsiteY3" fmla="*/ 354330 h 1290066"/>
                  <a:gd name="connsiteX4" fmla="*/ 650748 w 2060543"/>
                  <a:gd name="connsiteY4" fmla="*/ 303657 h 1290066"/>
                  <a:gd name="connsiteX5" fmla="*/ 306229 w 2060543"/>
                  <a:gd name="connsiteY5" fmla="*/ 645128 h 1290066"/>
                  <a:gd name="connsiteX6" fmla="*/ 650748 w 2060543"/>
                  <a:gd name="connsiteY6" fmla="*/ 986885 h 1290066"/>
                  <a:gd name="connsiteX7" fmla="*/ 980408 w 2060543"/>
                  <a:gd name="connsiteY7" fmla="*/ 745141 h 1290066"/>
                  <a:gd name="connsiteX8" fmla="*/ 1173766 w 2060543"/>
                  <a:gd name="connsiteY8" fmla="*/ 118205 h 1290066"/>
                  <a:gd name="connsiteX9" fmla="*/ 1320165 w 2060543"/>
                  <a:gd name="connsiteY9" fmla="*/ 12573 h 1290066"/>
                  <a:gd name="connsiteX10" fmla="*/ 1907477 w 2060543"/>
                  <a:gd name="connsiteY10" fmla="*/ 12573 h 1290066"/>
                  <a:gd name="connsiteX11" fmla="*/ 2060543 w 2060543"/>
                  <a:gd name="connsiteY11" fmla="*/ 164402 h 1290066"/>
                  <a:gd name="connsiteX12" fmla="*/ 1907477 w 2060543"/>
                  <a:gd name="connsiteY12" fmla="*/ 316135 h 1290066"/>
                  <a:gd name="connsiteX13" fmla="*/ 1479995 w 2060543"/>
                  <a:gd name="connsiteY13" fmla="*/ 316135 h 1290066"/>
                  <a:gd name="connsiteX14" fmla="*/ 1419511 w 2060543"/>
                  <a:gd name="connsiteY14" fmla="*/ 358902 h 1290066"/>
                  <a:gd name="connsiteX15" fmla="*/ 1273683 w 2060543"/>
                  <a:gd name="connsiteY15" fmla="*/ 831723 h 1290066"/>
                  <a:gd name="connsiteX16" fmla="*/ 650748 w 2060543"/>
                  <a:gd name="connsiteY16" fmla="*/ 1290066 h 1290066"/>
                  <a:gd name="connsiteX17" fmla="*/ 0 w 2060543"/>
                  <a:gd name="connsiteY17" fmla="*/ 645033 h 1290066"/>
                  <a:gd name="connsiteX18" fmla="*/ 650653 w 2060543"/>
                  <a:gd name="connsiteY18" fmla="*/ 0 h 1290066"/>
                  <a:gd name="connsiteX19" fmla="*/ 993362 w 2060543"/>
                  <a:gd name="connsiteY19" fmla="*/ 96679 h 1290066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</a:cxnLst>
                <a:rect l="l" t="t" r="r" b="b"/>
                <a:pathLst>
                  <a:path w="2060543" h="1290066">
                    <a:moveTo>
                      <a:pt x="993362" y="96774"/>
                    </a:moveTo>
                    <a:cubicBezTo>
                      <a:pt x="1038511" y="123158"/>
                      <a:pt x="1067372" y="171926"/>
                      <a:pt x="1067372" y="227457"/>
                    </a:cubicBezTo>
                    <a:cubicBezTo>
                      <a:pt x="1067372" y="311468"/>
                      <a:pt x="998696" y="379381"/>
                      <a:pt x="914210" y="379381"/>
                    </a:cubicBezTo>
                    <a:cubicBezTo>
                      <a:pt x="883730" y="379381"/>
                      <a:pt x="855726" y="369665"/>
                      <a:pt x="831628" y="354330"/>
                    </a:cubicBezTo>
                    <a:cubicBezTo>
                      <a:pt x="778764" y="322231"/>
                      <a:pt x="717042" y="303657"/>
                      <a:pt x="650748" y="303657"/>
                    </a:cubicBezTo>
                    <a:cubicBezTo>
                      <a:pt x="460343" y="303657"/>
                      <a:pt x="306229" y="456533"/>
                      <a:pt x="306229" y="645128"/>
                    </a:cubicBezTo>
                    <a:cubicBezTo>
                      <a:pt x="306229" y="833723"/>
                      <a:pt x="460343" y="986885"/>
                      <a:pt x="650748" y="986885"/>
                    </a:cubicBezTo>
                    <a:cubicBezTo>
                      <a:pt x="806863" y="986885"/>
                      <a:pt x="937832" y="886111"/>
                      <a:pt x="980408" y="745141"/>
                    </a:cubicBezTo>
                    <a:lnTo>
                      <a:pt x="1173766" y="118205"/>
                    </a:lnTo>
                    <a:cubicBezTo>
                      <a:pt x="1193387" y="56959"/>
                      <a:pt x="1252157" y="12573"/>
                      <a:pt x="1320165" y="12573"/>
                    </a:cubicBezTo>
                    <a:lnTo>
                      <a:pt x="1907477" y="12573"/>
                    </a:lnTo>
                    <a:cubicBezTo>
                      <a:pt x="1991868" y="12573"/>
                      <a:pt x="2060543" y="80486"/>
                      <a:pt x="2060543" y="164402"/>
                    </a:cubicBezTo>
                    <a:cubicBezTo>
                      <a:pt x="2060543" y="248317"/>
                      <a:pt x="1991963" y="316135"/>
                      <a:pt x="1907477" y="316135"/>
                    </a:cubicBezTo>
                    <a:lnTo>
                      <a:pt x="1479995" y="316135"/>
                    </a:lnTo>
                    <a:cubicBezTo>
                      <a:pt x="1452086" y="316135"/>
                      <a:pt x="1427988" y="334137"/>
                      <a:pt x="1419511" y="358902"/>
                    </a:cubicBezTo>
                    <a:lnTo>
                      <a:pt x="1273683" y="831723"/>
                    </a:lnTo>
                    <a:cubicBezTo>
                      <a:pt x="1193006" y="1096994"/>
                      <a:pt x="944499" y="1290066"/>
                      <a:pt x="650748" y="1290066"/>
                    </a:cubicBezTo>
                    <a:cubicBezTo>
                      <a:pt x="291179" y="1290257"/>
                      <a:pt x="0" y="1001459"/>
                      <a:pt x="0" y="645033"/>
                    </a:cubicBezTo>
                    <a:cubicBezTo>
                      <a:pt x="0" y="288608"/>
                      <a:pt x="291179" y="0"/>
                      <a:pt x="650653" y="0"/>
                    </a:cubicBezTo>
                    <a:cubicBezTo>
                      <a:pt x="776383" y="0"/>
                      <a:pt x="893636" y="35243"/>
                      <a:pt x="993362" y="96679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sp macro="" textlink="">
            <xdr:nvSpPr>
              <xdr:cNvPr id="64" name="Forma Livre: Forma 63">
                <a:extLst>
                  <a:ext uri="{FF2B5EF4-FFF2-40B4-BE49-F238E27FC236}">
                    <a16:creationId xmlns:a16="http://schemas.microsoft.com/office/drawing/2014/main" id="{E5C0329B-3C15-D8C2-7A03-5CE19A8131B8}"/>
                  </a:ext>
                </a:extLst>
              </xdr:cNvPr>
              <xdr:cNvSpPr/>
            </xdr:nvSpPr>
            <xdr:spPr>
              <a:xfrm>
                <a:off x="7363207" y="543218"/>
                <a:ext cx="2200941" cy="1290192"/>
              </a:xfrm>
              <a:custGeom>
                <a:avLst/>
                <a:gdLst>
                  <a:gd name="connsiteX0" fmla="*/ 640175 w 2200941"/>
                  <a:gd name="connsiteY0" fmla="*/ 929576 h 1290192"/>
                  <a:gd name="connsiteX1" fmla="*/ 640366 w 2200941"/>
                  <a:gd name="connsiteY1" fmla="*/ 929005 h 1290192"/>
                  <a:gd name="connsiteX2" fmla="*/ 892683 w 2200941"/>
                  <a:gd name="connsiteY2" fmla="*/ 109855 h 1290192"/>
                  <a:gd name="connsiteX3" fmla="*/ 1039654 w 2200941"/>
                  <a:gd name="connsiteY3" fmla="*/ 508 h 1290192"/>
                  <a:gd name="connsiteX4" fmla="*/ 1053560 w 2200941"/>
                  <a:gd name="connsiteY4" fmla="*/ 127 h 1290192"/>
                  <a:gd name="connsiteX5" fmla="*/ 1071943 w 2200941"/>
                  <a:gd name="connsiteY5" fmla="*/ 127 h 1290192"/>
                  <a:gd name="connsiteX6" fmla="*/ 1217962 w 2200941"/>
                  <a:gd name="connsiteY6" fmla="*/ 106807 h 1290192"/>
                  <a:gd name="connsiteX7" fmla="*/ 1391984 w 2200941"/>
                  <a:gd name="connsiteY7" fmla="*/ 671735 h 1290192"/>
                  <a:gd name="connsiteX8" fmla="*/ 1564386 w 2200941"/>
                  <a:gd name="connsiteY8" fmla="*/ 111855 h 1290192"/>
                  <a:gd name="connsiteX9" fmla="*/ 1711928 w 2200941"/>
                  <a:gd name="connsiteY9" fmla="*/ 603 h 1290192"/>
                  <a:gd name="connsiteX10" fmla="*/ 1725930 w 2200941"/>
                  <a:gd name="connsiteY10" fmla="*/ 413 h 1290192"/>
                  <a:gd name="connsiteX11" fmla="*/ 1744027 w 2200941"/>
                  <a:gd name="connsiteY11" fmla="*/ 603 h 1290192"/>
                  <a:gd name="connsiteX12" fmla="*/ 1890522 w 2200941"/>
                  <a:gd name="connsiteY12" fmla="*/ 107283 h 1290192"/>
                  <a:gd name="connsiteX13" fmla="*/ 2193322 w 2200941"/>
                  <a:gd name="connsiteY13" fmla="*/ 1091121 h 1290192"/>
                  <a:gd name="connsiteX14" fmla="*/ 2200942 w 2200941"/>
                  <a:gd name="connsiteY14" fmla="*/ 1138365 h 1290192"/>
                  <a:gd name="connsiteX15" fmla="*/ 2047780 w 2200941"/>
                  <a:gd name="connsiteY15" fmla="*/ 1290098 h 1290192"/>
                  <a:gd name="connsiteX16" fmla="*/ 1901476 w 2200941"/>
                  <a:gd name="connsiteY16" fmla="*/ 1183418 h 1290192"/>
                  <a:gd name="connsiteX17" fmla="*/ 1727930 w 2200941"/>
                  <a:gd name="connsiteY17" fmla="*/ 620109 h 1290192"/>
                  <a:gd name="connsiteX18" fmla="*/ 1553718 w 2200941"/>
                  <a:gd name="connsiteY18" fmla="*/ 1185609 h 1290192"/>
                  <a:gd name="connsiteX19" fmla="*/ 1408081 w 2200941"/>
                  <a:gd name="connsiteY19" fmla="*/ 1290193 h 1290192"/>
                  <a:gd name="connsiteX20" fmla="*/ 1389602 w 2200941"/>
                  <a:gd name="connsiteY20" fmla="*/ 1290193 h 1290192"/>
                  <a:gd name="connsiteX21" fmla="*/ 1375601 w 2200941"/>
                  <a:gd name="connsiteY21" fmla="*/ 1289812 h 1290192"/>
                  <a:gd name="connsiteX22" fmla="*/ 1229582 w 2200941"/>
                  <a:gd name="connsiteY22" fmla="*/ 1183513 h 1290192"/>
                  <a:gd name="connsiteX23" fmla="*/ 1055846 w 2200941"/>
                  <a:gd name="connsiteY23" fmla="*/ 619443 h 1290192"/>
                  <a:gd name="connsiteX24" fmla="*/ 886873 w 2200941"/>
                  <a:gd name="connsiteY24" fmla="*/ 1167702 h 1290192"/>
                  <a:gd name="connsiteX25" fmla="*/ 740188 w 2200941"/>
                  <a:gd name="connsiteY25" fmla="*/ 1276953 h 1290192"/>
                  <a:gd name="connsiteX26" fmla="*/ 152971 w 2200941"/>
                  <a:gd name="connsiteY26" fmla="*/ 1276953 h 1290192"/>
                  <a:gd name="connsiteX27" fmla="*/ 0 w 2200941"/>
                  <a:gd name="connsiteY27" fmla="*/ 1125887 h 1290192"/>
                  <a:gd name="connsiteX28" fmla="*/ 153162 w 2200941"/>
                  <a:gd name="connsiteY28" fmla="*/ 974153 h 1290192"/>
                  <a:gd name="connsiteX29" fmla="*/ 579310 w 2200941"/>
                  <a:gd name="connsiteY29" fmla="*/ 974153 h 1290192"/>
                  <a:gd name="connsiteX30" fmla="*/ 640175 w 2200941"/>
                  <a:gd name="connsiteY30" fmla="*/ 929767 h 129019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  <a:cxn ang="0">
                    <a:pos x="connsiteX7" y="connsiteY7"/>
                  </a:cxn>
                  <a:cxn ang="0">
                    <a:pos x="connsiteX8" y="connsiteY8"/>
                  </a:cxn>
                  <a:cxn ang="0">
                    <a:pos x="connsiteX9" y="connsiteY9"/>
                  </a:cxn>
                  <a:cxn ang="0">
                    <a:pos x="connsiteX10" y="connsiteY10"/>
                  </a:cxn>
                  <a:cxn ang="0">
                    <a:pos x="connsiteX11" y="connsiteY11"/>
                  </a:cxn>
                  <a:cxn ang="0">
                    <a:pos x="connsiteX12" y="connsiteY12"/>
                  </a:cxn>
                  <a:cxn ang="0">
                    <a:pos x="connsiteX13" y="connsiteY13"/>
                  </a:cxn>
                  <a:cxn ang="0">
                    <a:pos x="connsiteX14" y="connsiteY14"/>
                  </a:cxn>
                  <a:cxn ang="0">
                    <a:pos x="connsiteX15" y="connsiteY15"/>
                  </a:cxn>
                  <a:cxn ang="0">
                    <a:pos x="connsiteX16" y="connsiteY16"/>
                  </a:cxn>
                  <a:cxn ang="0">
                    <a:pos x="connsiteX17" y="connsiteY17"/>
                  </a:cxn>
                  <a:cxn ang="0">
                    <a:pos x="connsiteX18" y="connsiteY18"/>
                  </a:cxn>
                  <a:cxn ang="0">
                    <a:pos x="connsiteX19" y="connsiteY19"/>
                  </a:cxn>
                  <a:cxn ang="0">
                    <a:pos x="connsiteX20" y="connsiteY20"/>
                  </a:cxn>
                  <a:cxn ang="0">
                    <a:pos x="connsiteX21" y="connsiteY21"/>
                  </a:cxn>
                  <a:cxn ang="0">
                    <a:pos x="connsiteX22" y="connsiteY22"/>
                  </a:cxn>
                  <a:cxn ang="0">
                    <a:pos x="connsiteX23" y="connsiteY23"/>
                  </a:cxn>
                  <a:cxn ang="0">
                    <a:pos x="connsiteX24" y="connsiteY24"/>
                  </a:cxn>
                  <a:cxn ang="0">
                    <a:pos x="connsiteX25" y="connsiteY25"/>
                  </a:cxn>
                  <a:cxn ang="0">
                    <a:pos x="connsiteX26" y="connsiteY26"/>
                  </a:cxn>
                  <a:cxn ang="0">
                    <a:pos x="connsiteX27" y="connsiteY27"/>
                  </a:cxn>
                  <a:cxn ang="0">
                    <a:pos x="connsiteX28" y="connsiteY28"/>
                  </a:cxn>
                  <a:cxn ang="0">
                    <a:pos x="connsiteX29" y="connsiteY29"/>
                  </a:cxn>
                  <a:cxn ang="0">
                    <a:pos x="connsiteX30" y="connsiteY30"/>
                  </a:cxn>
                </a:cxnLst>
                <a:rect l="l" t="t" r="r" b="b"/>
                <a:pathLst>
                  <a:path w="2200941" h="1290192">
                    <a:moveTo>
                      <a:pt x="640175" y="929576"/>
                    </a:moveTo>
                    <a:lnTo>
                      <a:pt x="640366" y="929005"/>
                    </a:lnTo>
                    <a:lnTo>
                      <a:pt x="892683" y="109855"/>
                    </a:lnTo>
                    <a:cubicBezTo>
                      <a:pt x="911257" y="46704"/>
                      <a:pt x="969931" y="508"/>
                      <a:pt x="1039654" y="508"/>
                    </a:cubicBezTo>
                    <a:cubicBezTo>
                      <a:pt x="1044416" y="508"/>
                      <a:pt x="1048036" y="127"/>
                      <a:pt x="1053560" y="127"/>
                    </a:cubicBezTo>
                    <a:cubicBezTo>
                      <a:pt x="1060799" y="-159"/>
                      <a:pt x="1065752" y="127"/>
                      <a:pt x="1071943" y="127"/>
                    </a:cubicBezTo>
                    <a:cubicBezTo>
                      <a:pt x="1140523" y="127"/>
                      <a:pt x="1198531" y="45085"/>
                      <a:pt x="1217962" y="106807"/>
                    </a:cubicBezTo>
                    <a:lnTo>
                      <a:pt x="1391984" y="671735"/>
                    </a:lnTo>
                    <a:lnTo>
                      <a:pt x="1564386" y="111855"/>
                    </a:lnTo>
                    <a:cubicBezTo>
                      <a:pt x="1582579" y="47943"/>
                      <a:pt x="1641729" y="603"/>
                      <a:pt x="1711928" y="603"/>
                    </a:cubicBezTo>
                    <a:cubicBezTo>
                      <a:pt x="1716595" y="603"/>
                      <a:pt x="1720405" y="413"/>
                      <a:pt x="1725930" y="413"/>
                    </a:cubicBezTo>
                    <a:cubicBezTo>
                      <a:pt x="1732883" y="413"/>
                      <a:pt x="1737836" y="603"/>
                      <a:pt x="1744027" y="603"/>
                    </a:cubicBezTo>
                    <a:cubicBezTo>
                      <a:pt x="1812798" y="603"/>
                      <a:pt x="1870805" y="45466"/>
                      <a:pt x="1890522" y="107283"/>
                    </a:cubicBezTo>
                    <a:lnTo>
                      <a:pt x="2193322" y="1091121"/>
                    </a:lnTo>
                    <a:cubicBezTo>
                      <a:pt x="2198275" y="1105980"/>
                      <a:pt x="2200942" y="1121886"/>
                      <a:pt x="2200942" y="1138365"/>
                    </a:cubicBezTo>
                    <a:cubicBezTo>
                      <a:pt x="2200942" y="1222280"/>
                      <a:pt x="2132457" y="1290098"/>
                      <a:pt x="2047780" y="1290098"/>
                    </a:cubicBezTo>
                    <a:cubicBezTo>
                      <a:pt x="1979200" y="1290098"/>
                      <a:pt x="1920907" y="1245330"/>
                      <a:pt x="1901476" y="1183418"/>
                    </a:cubicBezTo>
                    <a:lnTo>
                      <a:pt x="1727930" y="620109"/>
                    </a:lnTo>
                    <a:lnTo>
                      <a:pt x="1553718" y="1185609"/>
                    </a:lnTo>
                    <a:cubicBezTo>
                      <a:pt x="1532763" y="1244378"/>
                      <a:pt x="1474946" y="1290193"/>
                      <a:pt x="1408081" y="1290193"/>
                    </a:cubicBezTo>
                    <a:lnTo>
                      <a:pt x="1389602" y="1290193"/>
                    </a:lnTo>
                    <a:cubicBezTo>
                      <a:pt x="1384173" y="1289907"/>
                      <a:pt x="1380363" y="1289812"/>
                      <a:pt x="1375601" y="1289812"/>
                    </a:cubicBezTo>
                    <a:cubicBezTo>
                      <a:pt x="1307020" y="1289812"/>
                      <a:pt x="1249204" y="1245140"/>
                      <a:pt x="1229582" y="1183513"/>
                    </a:cubicBezTo>
                    <a:lnTo>
                      <a:pt x="1055846" y="619443"/>
                    </a:lnTo>
                    <a:lnTo>
                      <a:pt x="886873" y="1167702"/>
                    </a:lnTo>
                    <a:cubicBezTo>
                      <a:pt x="868299" y="1230852"/>
                      <a:pt x="809530" y="1276953"/>
                      <a:pt x="740188" y="1276953"/>
                    </a:cubicBezTo>
                    <a:lnTo>
                      <a:pt x="152971" y="1276953"/>
                    </a:lnTo>
                    <a:cubicBezTo>
                      <a:pt x="68485" y="1276953"/>
                      <a:pt x="0" y="1209897"/>
                      <a:pt x="0" y="1125887"/>
                    </a:cubicBezTo>
                    <a:cubicBezTo>
                      <a:pt x="0" y="1041876"/>
                      <a:pt x="68485" y="974153"/>
                      <a:pt x="153162" y="974153"/>
                    </a:cubicBezTo>
                    <a:lnTo>
                      <a:pt x="579310" y="974153"/>
                    </a:lnTo>
                    <a:cubicBezTo>
                      <a:pt x="607790" y="974153"/>
                      <a:pt x="632174" y="955580"/>
                      <a:pt x="640175" y="929767"/>
                    </a:cubicBezTo>
                  </a:path>
                </a:pathLst>
              </a:custGeom>
              <a:solidFill>
                <a:schemeClr val="bg1"/>
              </a:soli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</xdr:grpSp>
      </xdr:grpSp>
      <xdr:grpSp>
        <xdr:nvGrpSpPr>
          <xdr:cNvPr id="51" name="Agrupar 50">
            <a:extLst>
              <a:ext uri="{FF2B5EF4-FFF2-40B4-BE49-F238E27FC236}">
                <a16:creationId xmlns:a16="http://schemas.microsoft.com/office/drawing/2014/main" id="{2B81E270-5578-1C27-FE36-184B91DD42DC}"/>
              </a:ext>
            </a:extLst>
          </xdr:cNvPr>
          <xdr:cNvGrpSpPr/>
        </xdr:nvGrpSpPr>
        <xdr:grpSpPr>
          <a:xfrm>
            <a:off x="166278" y="561493"/>
            <a:ext cx="1486223" cy="299784"/>
            <a:chOff x="665660" y="804361"/>
            <a:chExt cx="4972991" cy="984371"/>
          </a:xfrm>
        </xdr:grpSpPr>
        <xdr:pic>
          <xdr:nvPicPr>
            <xdr:cNvPr id="55" name="Gráfico 15">
              <a:extLst>
                <a:ext uri="{FF2B5EF4-FFF2-40B4-BE49-F238E27FC236}">
                  <a16:creationId xmlns:a16="http://schemas.microsoft.com/office/drawing/2014/main" id="{D77AF0D2-820E-F9BF-1129-19830F88F61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96DAC541-7B7A-43D3-8B79-37D633B846F1}">
                  <asvg:svgBlip xmlns:asvg="http://schemas.microsoft.com/office/drawing/2016/SVG/main" r:embed="rId3"/>
                </a:ext>
              </a:extLst>
            </a:blip>
            <a:stretch>
              <a:fillRect/>
            </a:stretch>
          </xdr:blipFill>
          <xdr:spPr>
            <a:xfrm>
              <a:off x="665660" y="804361"/>
              <a:ext cx="4972991" cy="984371"/>
            </a:xfrm>
            <a:prstGeom prst="rect">
              <a:avLst/>
            </a:prstGeom>
          </xdr:spPr>
        </xdr:pic>
        <xdr:sp macro="" textlink="">
          <xdr:nvSpPr>
            <xdr:cNvPr id="56" name="Elipse 55">
              <a:extLst>
                <a:ext uri="{FF2B5EF4-FFF2-40B4-BE49-F238E27FC236}">
                  <a16:creationId xmlns:a16="http://schemas.microsoft.com/office/drawing/2014/main" id="{82F113FC-D243-F653-C55E-D05553E196E5}"/>
                </a:ext>
              </a:extLst>
            </xdr:cNvPr>
            <xdr:cNvSpPr/>
          </xdr:nvSpPr>
          <xdr:spPr>
            <a:xfrm>
              <a:off x="3614392" y="1405462"/>
              <a:ext cx="248171" cy="248169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57" name="Retângulo: Cantos Arredondados 56">
              <a:extLst>
                <a:ext uri="{FF2B5EF4-FFF2-40B4-BE49-F238E27FC236}">
                  <a16:creationId xmlns:a16="http://schemas.microsoft.com/office/drawing/2014/main" id="{F0AC8E19-88BA-F991-EBA3-934EF491F4D2}"/>
                </a:ext>
              </a:extLst>
            </xdr:cNvPr>
            <xdr:cNvSpPr/>
          </xdr:nvSpPr>
          <xdr:spPr>
            <a:xfrm>
              <a:off x="5457477" y="1677643"/>
              <a:ext cx="171092" cy="93736"/>
            </a:xfrm>
            <a:prstGeom prst="roundRect">
              <a:avLst>
                <a:gd name="adj" fmla="val 50000"/>
              </a:avLst>
            </a:prstGeom>
            <a:noFill/>
            <a:ln w="6350">
              <a:gradFill flip="none" rotWithShape="1">
                <a:gsLst>
                  <a:gs pos="10000">
                    <a:schemeClr val="accent3"/>
                  </a:gs>
                  <a:gs pos="90000">
                    <a:schemeClr val="accent4"/>
                  </a:gs>
                </a:gsLst>
                <a:lin ang="16200000" scaled="1"/>
                <a:tileRect/>
              </a:gra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sp macro="" textlink="">
          <xdr:nvSpPr>
            <xdr:cNvPr id="58" name="Elipse 57">
              <a:extLst>
                <a:ext uri="{FF2B5EF4-FFF2-40B4-BE49-F238E27FC236}">
                  <a16:creationId xmlns:a16="http://schemas.microsoft.com/office/drawing/2014/main" id="{8E8CE314-67E9-9D5F-DBC6-FEE229E5FC99}"/>
                </a:ext>
              </a:extLst>
            </xdr:cNvPr>
            <xdr:cNvSpPr/>
          </xdr:nvSpPr>
          <xdr:spPr>
            <a:xfrm>
              <a:off x="5532172" y="1686303"/>
              <a:ext cx="89052" cy="82238"/>
            </a:xfrm>
            <a:prstGeom prst="ellipse">
              <a:avLst/>
            </a:prstGeom>
            <a:gradFill>
              <a:gsLst>
                <a:gs pos="10000">
                  <a:srgbClr val="1FFE8C"/>
                </a:gs>
                <a:gs pos="90000">
                  <a:srgbClr val="C5FE3F"/>
                </a:gs>
              </a:gsLst>
              <a:lin ang="0" scaled="0"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</xdr:grpSp>
      <xdr:grpSp>
        <xdr:nvGrpSpPr>
          <xdr:cNvPr id="52" name="Agrupar 51">
            <a:extLst>
              <a:ext uri="{FF2B5EF4-FFF2-40B4-BE49-F238E27FC236}">
                <a16:creationId xmlns:a16="http://schemas.microsoft.com/office/drawing/2014/main" id="{899DC3AF-012B-1971-1AD5-EA8067290A17}"/>
              </a:ext>
            </a:extLst>
          </xdr:cNvPr>
          <xdr:cNvGrpSpPr/>
        </xdr:nvGrpSpPr>
        <xdr:grpSpPr>
          <a:xfrm>
            <a:off x="7921751" y="566999"/>
            <a:ext cx="1021409" cy="737348"/>
            <a:chOff x="7820108" y="421255"/>
            <a:chExt cx="1019230" cy="747926"/>
          </a:xfrm>
        </xdr:grpSpPr>
        <xdr:sp macro="" textlink="">
          <xdr:nvSpPr>
            <xdr:cNvPr id="53" name="Seta para a Direita 10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2CD5C18E-CDD5-54DE-9937-1F10708E8CE1}"/>
                </a:ext>
              </a:extLst>
            </xdr:cNvPr>
            <xdr:cNvSpPr/>
          </xdr:nvSpPr>
          <xdr:spPr>
            <a:xfrm rot="10800000">
              <a:off x="8023397" y="421255"/>
              <a:ext cx="696828" cy="376116"/>
            </a:xfrm>
            <a:prstGeom prst="rightArrow">
              <a:avLst>
                <a:gd name="adj1" fmla="val 53502"/>
                <a:gd name="adj2" fmla="val 45694"/>
              </a:avLst>
            </a:prstGeom>
            <a:solidFill>
              <a:srgbClr val="B8E53E"/>
            </a:solidFill>
            <a:ln w="9525" cap="flat" cmpd="sng" algn="ctr">
              <a:solidFill>
                <a:srgbClr val="00744D"/>
              </a:solidFill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l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1050" b="0" i="0" u="none" strike="noStrike" kern="0" cap="none" spc="0" normalizeH="0" baseline="0" noProof="0">
                <a:ln>
                  <a:noFill/>
                </a:ln>
                <a:solidFill>
                  <a:sysClr val="window" lastClr="FFFFFF"/>
                </a:solidFill>
                <a:effectLst/>
                <a:uLnTx/>
                <a:uFillTx/>
                <a:latin typeface="Calibri" panose="020F0502020204030204"/>
                <a:ea typeface="+mn-ea"/>
                <a:cs typeface="+mn-cs"/>
              </a:endParaRPr>
            </a:p>
          </xdr:txBody>
        </xdr:sp>
        <xdr:sp macro="" textlink="">
          <xdr:nvSpPr>
            <xdr:cNvPr id="54" name="Retângulo Arredondado 9">
              <a:hlinkClick xmlns:r="http://schemas.openxmlformats.org/officeDocument/2006/relationships" r:id="rId4"/>
              <a:extLst>
                <a:ext uri="{FF2B5EF4-FFF2-40B4-BE49-F238E27FC236}">
                  <a16:creationId xmlns:a16="http://schemas.microsoft.com/office/drawing/2014/main" id="{50831A56-6AD7-06E8-3262-289488935777}"/>
                </a:ext>
              </a:extLst>
            </xdr:cNvPr>
            <xdr:cNvSpPr/>
          </xdr:nvSpPr>
          <xdr:spPr>
            <a:xfrm>
              <a:off x="7820108" y="474590"/>
              <a:ext cx="1019230" cy="694591"/>
            </a:xfrm>
            <a:prstGeom prst="roundRect">
              <a:avLst>
                <a:gd name="adj" fmla="val 9474"/>
              </a:avLst>
            </a:prstGeom>
            <a:noFill/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accent1"/>
            </a:fontRef>
          </xdr:style>
          <xdr:txBody>
            <a:bodyPr vertOverflow="clip" horzOverflow="clip" rtlCol="0" anchor="t"/>
            <a:lstStyle/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kumimoji="0" lang="pt-BR" sz="700" b="1" i="0" u="none" strike="noStrike" kern="0" cap="none" spc="0" normalizeH="0" baseline="0">
                  <a:ln>
                    <a:noFill/>
                  </a:ln>
                  <a:solidFill>
                    <a:srgbClr val="00744D"/>
                  </a:solidFill>
                  <a:effectLst/>
                  <a:uLnTx/>
                  <a:uFillTx/>
                  <a:latin typeface="Arial" panose="020B0604020202020204" pitchFamily="34" charset="0"/>
                  <a:ea typeface="+mn-ea"/>
                  <a:cs typeface="Arial" panose="020B0604020202020204" pitchFamily="34" charset="0"/>
                </a:rPr>
                <a:t>SUMÁRIO</a:t>
              </a:r>
              <a:endParaRPr kumimoji="0" lang="pt-BR" sz="800" b="1" i="0" u="none" strike="noStrike" kern="0" cap="none" spc="0" normalizeH="0" baseline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  <a:p>
              <a:pPr marL="0" marR="0" lvl="0" indent="0" algn="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endParaRPr kumimoji="0" lang="pt-BR" sz="800" b="1" i="0" u="none" strike="noStrike" kern="0" cap="none" spc="0" normalizeH="0" baseline="0" noProof="0">
                <a:ln>
                  <a:noFill/>
                </a:ln>
                <a:solidFill>
                  <a:srgbClr val="00744D"/>
                </a:solidFill>
                <a:effectLst/>
                <a:uLnTx/>
                <a:uFillTx/>
                <a:latin typeface="Arial" panose="020B0604020202020204" pitchFamily="34" charset="0"/>
                <a:ea typeface="+mn-ea"/>
                <a:cs typeface="Arial" panose="020B0604020202020204" pitchFamily="34" charset="0"/>
              </a:endParaRPr>
            </a:p>
          </xdr:txBody>
        </xdr:sp>
      </xdr:grpSp>
    </xdr:grpSp>
    <xdr:clientData/>
  </xdr:twoCellAnchor>
  <xdr:twoCellAnchor>
    <xdr:from>
      <xdr:col>1</xdr:col>
      <xdr:colOff>842503</xdr:colOff>
      <xdr:row>0</xdr:row>
      <xdr:rowOff>114745</xdr:rowOff>
    </xdr:from>
    <xdr:to>
      <xdr:col>6</xdr:col>
      <xdr:colOff>184548</xdr:colOff>
      <xdr:row>4</xdr:row>
      <xdr:rowOff>53358</xdr:rowOff>
    </xdr:to>
    <xdr:sp macro="" textlink="">
      <xdr:nvSpPr>
        <xdr:cNvPr id="65" name="CaixaDeTexto 64">
          <a:extLst>
            <a:ext uri="{FF2B5EF4-FFF2-40B4-BE49-F238E27FC236}">
              <a16:creationId xmlns:a16="http://schemas.microsoft.com/office/drawing/2014/main" id="{DA614745-36BC-ACEF-543B-B7FC8B8F6B02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497347" y="114745"/>
          <a:ext cx="4610560" cy="65298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RECEITA ANUAL PERMITIDA - RAP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5797</xdr:colOff>
      <xdr:row>0</xdr:row>
      <xdr:rowOff>15323</xdr:rowOff>
    </xdr:from>
    <xdr:to>
      <xdr:col>8</xdr:col>
      <xdr:colOff>80341</xdr:colOff>
      <xdr:row>6</xdr:row>
      <xdr:rowOff>123265</xdr:rowOff>
    </xdr:to>
    <xdr:grpSp>
      <xdr:nvGrpSpPr>
        <xdr:cNvPr id="46" name="Agrupar 45">
          <a:extLst>
            <a:ext uri="{FF2B5EF4-FFF2-40B4-BE49-F238E27FC236}">
              <a16:creationId xmlns:a16="http://schemas.microsoft.com/office/drawing/2014/main" id="{FF0C13E7-C7F8-4BB1-B658-85A3CEF15401}"/>
            </a:ext>
          </a:extLst>
        </xdr:cNvPr>
        <xdr:cNvGrpSpPr/>
      </xdr:nvGrpSpPr>
      <xdr:grpSpPr>
        <a:xfrm>
          <a:off x="5797" y="15323"/>
          <a:ext cx="11380719" cy="1308092"/>
          <a:chOff x="0" y="114300"/>
          <a:chExt cx="9050846" cy="1082842"/>
        </a:xfrm>
      </xdr:grpSpPr>
      <xdr:grpSp>
        <xdr:nvGrpSpPr>
          <xdr:cNvPr id="47" name="Agrupar 46">
            <a:extLst>
              <a:ext uri="{FF2B5EF4-FFF2-40B4-BE49-F238E27FC236}">
                <a16:creationId xmlns:a16="http://schemas.microsoft.com/office/drawing/2014/main" id="{33C76380-17B0-BC8D-E969-5FD10F50982C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49" name="Retângulo 48">
              <a:extLst>
                <a:ext uri="{FF2B5EF4-FFF2-40B4-BE49-F238E27FC236}">
                  <a16:creationId xmlns:a16="http://schemas.microsoft.com/office/drawing/2014/main" id="{56A9AF17-59FB-F504-6ACE-5B8BFE423EC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50" name="Elements">
              <a:extLst>
                <a:ext uri="{FF2B5EF4-FFF2-40B4-BE49-F238E27FC236}">
                  <a16:creationId xmlns:a16="http://schemas.microsoft.com/office/drawing/2014/main" id="{3C732562-A772-A3AE-5705-50F9846C254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51" name="Agrupar 50">
              <a:extLst>
                <a:ext uri="{FF2B5EF4-FFF2-40B4-BE49-F238E27FC236}">
                  <a16:creationId xmlns:a16="http://schemas.microsoft.com/office/drawing/2014/main" id="{9FC643CA-D340-4C03-7077-9B515495EFC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57" name="Forma Livre: Forma 56">
                <a:extLst>
                  <a:ext uri="{FF2B5EF4-FFF2-40B4-BE49-F238E27FC236}">
                    <a16:creationId xmlns:a16="http://schemas.microsoft.com/office/drawing/2014/main" id="{14E40BFE-8088-E332-A79A-8A38A3AC831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58" name="Gráfico 1">
                <a:extLst>
                  <a:ext uri="{FF2B5EF4-FFF2-40B4-BE49-F238E27FC236}">
                    <a16:creationId xmlns:a16="http://schemas.microsoft.com/office/drawing/2014/main" id="{C718EDDE-D6C5-C124-1565-E5F5191ADFD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59" name="Forma Livre: Forma 58">
                  <a:extLst>
                    <a:ext uri="{FF2B5EF4-FFF2-40B4-BE49-F238E27FC236}">
                      <a16:creationId xmlns:a16="http://schemas.microsoft.com/office/drawing/2014/main" id="{DF5F1B52-4449-B671-0D43-1CF41A6530F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0" name="Forma Livre: Forma 59">
                  <a:extLst>
                    <a:ext uri="{FF2B5EF4-FFF2-40B4-BE49-F238E27FC236}">
                      <a16:creationId xmlns:a16="http://schemas.microsoft.com/office/drawing/2014/main" id="{7CACE686-DEB4-70FC-9954-5AAA77CE7C86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1" name="Forma Livre: Forma 60">
                  <a:extLst>
                    <a:ext uri="{FF2B5EF4-FFF2-40B4-BE49-F238E27FC236}">
                      <a16:creationId xmlns:a16="http://schemas.microsoft.com/office/drawing/2014/main" id="{C58D5DB8-94AA-9D58-CE42-216199DC8108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62" name="Forma Livre: Forma 61">
                  <a:extLst>
                    <a:ext uri="{FF2B5EF4-FFF2-40B4-BE49-F238E27FC236}">
                      <a16:creationId xmlns:a16="http://schemas.microsoft.com/office/drawing/2014/main" id="{47B04EE9-0208-B1B3-CAB3-1F73939144CC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52" name="Agrupar 51">
              <a:extLst>
                <a:ext uri="{FF2B5EF4-FFF2-40B4-BE49-F238E27FC236}">
                  <a16:creationId xmlns:a16="http://schemas.microsoft.com/office/drawing/2014/main" id="{E80AE886-AF61-D907-3AE6-9D63CE7CD2E0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53" name="Gráfico 15">
                <a:extLst>
                  <a:ext uri="{FF2B5EF4-FFF2-40B4-BE49-F238E27FC236}">
                    <a16:creationId xmlns:a16="http://schemas.microsoft.com/office/drawing/2014/main" id="{799ED1C5-2A6D-6C93-2A8F-E401A4EC56AF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54" name="Elipse 53">
                <a:extLst>
                  <a:ext uri="{FF2B5EF4-FFF2-40B4-BE49-F238E27FC236}">
                    <a16:creationId xmlns:a16="http://schemas.microsoft.com/office/drawing/2014/main" id="{3DC1A0CA-01F3-3960-A284-925CCE0DEC59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55" name="Retângulo: Cantos Arredondados 54">
                <a:extLst>
                  <a:ext uri="{FF2B5EF4-FFF2-40B4-BE49-F238E27FC236}">
                    <a16:creationId xmlns:a16="http://schemas.microsoft.com/office/drawing/2014/main" id="{970D0281-6214-347F-F575-0F9657842EF1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56" name="Elipse 55">
                <a:extLst>
                  <a:ext uri="{FF2B5EF4-FFF2-40B4-BE49-F238E27FC236}">
                    <a16:creationId xmlns:a16="http://schemas.microsoft.com/office/drawing/2014/main" id="{1CCE457A-8806-9F9E-3D66-77D5EF0F7C09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8" name="Imagem 4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161D66C9-8AD5-4A55-51B1-171C00426AD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683563</xdr:colOff>
      <xdr:row>1</xdr:row>
      <xdr:rowOff>179293</xdr:rowOff>
    </xdr:from>
    <xdr:to>
      <xdr:col>7</xdr:col>
      <xdr:colOff>986121</xdr:colOff>
      <xdr:row>5</xdr:row>
      <xdr:rowOff>37939</xdr:rowOff>
    </xdr:to>
    <xdr:sp macro="" textlink="">
      <xdr:nvSpPr>
        <xdr:cNvPr id="63" name="CaixaDeTexto 62">
          <a:extLst>
            <a:ext uri="{FF2B5EF4-FFF2-40B4-BE49-F238E27FC236}">
              <a16:creationId xmlns:a16="http://schemas.microsoft.com/office/drawing/2014/main" id="{FD254E85-6413-4323-A5B8-A1917ADF305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64563" y="380999"/>
          <a:ext cx="9289676" cy="6654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4400" b="1">
              <a:solidFill>
                <a:schemeClr val="bg1"/>
              </a:solidFill>
              <a:latin typeface="+mj-lt"/>
              <a:ea typeface="+mj-lt"/>
              <a:cs typeface="+mj-lt"/>
            </a:rPr>
            <a:t>USINAS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9525</xdr:rowOff>
    </xdr:from>
    <xdr:to>
      <xdr:col>6</xdr:col>
      <xdr:colOff>657225</xdr:colOff>
      <xdr:row>6</xdr:row>
      <xdr:rowOff>57150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3E65B53A-6807-429E-A8A1-FC55CED667D9}"/>
            </a:ext>
          </a:extLst>
        </xdr:cNvPr>
        <xdr:cNvGrpSpPr/>
      </xdr:nvGrpSpPr>
      <xdr:grpSpPr>
        <a:xfrm>
          <a:off x="9525" y="9525"/>
          <a:ext cx="7639050" cy="1019175"/>
          <a:chOff x="0" y="114300"/>
          <a:chExt cx="9050846" cy="1082842"/>
        </a:xfrm>
      </xdr:grpSpPr>
      <xdr:grpSp>
        <xdr:nvGrpSpPr>
          <xdr:cNvPr id="8" name="Agrupar 7">
            <a:extLst>
              <a:ext uri="{FF2B5EF4-FFF2-40B4-BE49-F238E27FC236}">
                <a16:creationId xmlns:a16="http://schemas.microsoft.com/office/drawing/2014/main" id="{D85EE9A4-2C7B-ADEE-C55C-F2CB5FBDF5B0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0" name="Retângulo 9">
              <a:extLst>
                <a:ext uri="{FF2B5EF4-FFF2-40B4-BE49-F238E27FC236}">
                  <a16:creationId xmlns:a16="http://schemas.microsoft.com/office/drawing/2014/main" id="{91CF11AD-5A16-32F1-C9E0-8EBB0B83C37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1" name="Elements">
              <a:extLst>
                <a:ext uri="{FF2B5EF4-FFF2-40B4-BE49-F238E27FC236}">
                  <a16:creationId xmlns:a16="http://schemas.microsoft.com/office/drawing/2014/main" id="{6E1C0061-DB2D-B752-4342-12A4C9D728D1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2" name="Agrupar 11">
              <a:extLst>
                <a:ext uri="{FF2B5EF4-FFF2-40B4-BE49-F238E27FC236}">
                  <a16:creationId xmlns:a16="http://schemas.microsoft.com/office/drawing/2014/main" id="{10BB3C6C-4B0A-46E9-9B5A-614C2C5BF48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8" name="Forma Livre: Forma 17">
                <a:extLst>
                  <a:ext uri="{FF2B5EF4-FFF2-40B4-BE49-F238E27FC236}">
                    <a16:creationId xmlns:a16="http://schemas.microsoft.com/office/drawing/2014/main" id="{004AF157-44CD-EDEC-D9AB-4059A4B33BF1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9" name="Gráfico 1">
                <a:extLst>
                  <a:ext uri="{FF2B5EF4-FFF2-40B4-BE49-F238E27FC236}">
                    <a16:creationId xmlns:a16="http://schemas.microsoft.com/office/drawing/2014/main" id="{938D4756-50CD-B4FB-BA91-7909ED7B90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0" name="Forma Livre: Forma 19">
                  <a:extLst>
                    <a:ext uri="{FF2B5EF4-FFF2-40B4-BE49-F238E27FC236}">
                      <a16:creationId xmlns:a16="http://schemas.microsoft.com/office/drawing/2014/main" id="{F0C9CAA4-BDEA-B305-FB6F-0E7E5965ADB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8D5DFE01-BF17-D780-8047-71D66EF12FF2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7014A5BB-725E-EF5A-CE66-5155228D7AF2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505D783C-6481-1DAE-88C9-5BE5F026232C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6F7EBB59-D3F8-F4BB-04CF-57320854485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4" name="Gráfico 15">
                <a:extLst>
                  <a:ext uri="{FF2B5EF4-FFF2-40B4-BE49-F238E27FC236}">
                    <a16:creationId xmlns:a16="http://schemas.microsoft.com/office/drawing/2014/main" id="{6BB9F140-5C58-6FAA-F294-8304AADD9C7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5" name="Elipse 14">
                <a:extLst>
                  <a:ext uri="{FF2B5EF4-FFF2-40B4-BE49-F238E27FC236}">
                    <a16:creationId xmlns:a16="http://schemas.microsoft.com/office/drawing/2014/main" id="{44EC460E-01A8-FD50-57E3-FA10FBB1A97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6" name="Retângulo: Cantos Arredondados 15">
                <a:extLst>
                  <a:ext uri="{FF2B5EF4-FFF2-40B4-BE49-F238E27FC236}">
                    <a16:creationId xmlns:a16="http://schemas.microsoft.com/office/drawing/2014/main" id="{0BA11ACC-1606-362F-B310-F2E52ABA4A2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FAF17A88-53CB-3F80-07B1-5E3B5A74CE9C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9" name="Imagem 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2CB5173-A9E3-17AA-7F53-9C81B0EE41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776651</xdr:colOff>
      <xdr:row>1</xdr:row>
      <xdr:rowOff>117232</xdr:rowOff>
    </xdr:from>
    <xdr:to>
      <xdr:col>5</xdr:col>
      <xdr:colOff>533400</xdr:colOff>
      <xdr:row>4</xdr:row>
      <xdr:rowOff>80598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6E2E61A0-DA27-4FC0-A2CB-55534D98829D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776651" y="279157"/>
          <a:ext cx="6424249" cy="4491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       BALANÇO DE ENERGIA ELETRICA</a:t>
          </a:r>
          <a:endParaRPr lang="en-US" sz="40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</xdr:colOff>
      <xdr:row>0</xdr:row>
      <xdr:rowOff>9525</xdr:rowOff>
    </xdr:from>
    <xdr:to>
      <xdr:col>14</xdr:col>
      <xdr:colOff>258536</xdr:colOff>
      <xdr:row>6</xdr:row>
      <xdr:rowOff>19050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8B961829-B128-4F72-8291-EEAE24059DF2}"/>
            </a:ext>
          </a:extLst>
        </xdr:cNvPr>
        <xdr:cNvGrpSpPr/>
      </xdr:nvGrpSpPr>
      <xdr:grpSpPr>
        <a:xfrm>
          <a:off x="7844" y="9525"/>
          <a:ext cx="12782871" cy="1479096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11C4C204-A33F-F628-073E-24808FBE5E7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3075EEE2-49FC-BC4A-F047-1E2C1040D7D4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DC2B49A-1B14-7FA5-7883-EFBE957ED30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1D0F9DAF-A34D-9F41-C6A2-AF935576FCE2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EED50F6D-BBE1-187C-7ED0-04B1843A3FC5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5FAC5ADA-55DD-4DF7-51E7-7AD2E2BAFE1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34F68A-5D6E-D07D-2B31-81339EDCAE7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28F8D1D-FB53-C2D7-3852-9FBAA8006F3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7473C120-18A2-0320-DD90-7C6AE1C698F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6BAD40-A878-0204-7F43-818ADE09853F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E1C3195C-DD7D-16D8-2211-6449EAA26541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5">
                <a:extLst>
                  <a:ext uri="{FF2B5EF4-FFF2-40B4-BE49-F238E27FC236}">
                    <a16:creationId xmlns:a16="http://schemas.microsoft.com/office/drawing/2014/main" id="{A2E93977-7CED-9214-6362-B92F2589BC8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84BBF0EF-FF01-F6C3-CCE1-C87638B7938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0A8EFF3C-D7B8-322C-515B-D0132F6CF3A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AFD51-A949-A1C4-9DEB-0D4EC82D25E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21E1EE8-8931-70DA-4591-C9B322061F0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374689</xdr:colOff>
      <xdr:row>0</xdr:row>
      <xdr:rowOff>34417</xdr:rowOff>
    </xdr:from>
    <xdr:to>
      <xdr:col>12</xdr:col>
      <xdr:colOff>504266</xdr:colOff>
      <xdr:row>5</xdr:row>
      <xdr:rowOff>217714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3F39B3B7-ECC9-4818-B867-E5719855B39A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035836" y="34417"/>
          <a:ext cx="10483812" cy="135991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600" b="1">
              <a:solidFill>
                <a:schemeClr val="bg1"/>
              </a:solidFill>
              <a:latin typeface="+mj-lt"/>
              <a:ea typeface="+mj-lt"/>
              <a:cs typeface="+mj-lt"/>
            </a:rPr>
            <a:t>                VENDA DE ENERGIA POR</a:t>
          </a:r>
          <a:r>
            <a:rPr lang="en-US" sz="2600" b="1" baseline="0">
              <a:solidFill>
                <a:schemeClr val="bg1"/>
              </a:solidFill>
              <a:latin typeface="+mj-lt"/>
              <a:ea typeface="+mj-lt"/>
              <a:cs typeface="+mj-lt"/>
            </a:rPr>
            <a:t> </a:t>
          </a:r>
          <a:r>
            <a:rPr lang="en-US" sz="2600" b="1">
              <a:solidFill>
                <a:schemeClr val="bg1"/>
              </a:solidFill>
              <a:latin typeface="+mj-lt"/>
              <a:ea typeface="+mj-lt"/>
              <a:cs typeface="+mj-lt"/>
            </a:rPr>
            <a:t>CLASSE DE CONSUMO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7844</xdr:colOff>
      <xdr:row>0</xdr:row>
      <xdr:rowOff>9526</xdr:rowOff>
    </xdr:from>
    <xdr:to>
      <xdr:col>8</xdr:col>
      <xdr:colOff>179294</xdr:colOff>
      <xdr:row>5</xdr:row>
      <xdr:rowOff>47625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7610F520-0F9F-43D5-8B62-0EBEA47D940A}"/>
            </a:ext>
          </a:extLst>
        </xdr:cNvPr>
        <xdr:cNvGrpSpPr/>
      </xdr:nvGrpSpPr>
      <xdr:grpSpPr>
        <a:xfrm>
          <a:off x="7844" y="9526"/>
          <a:ext cx="8867215" cy="1080246"/>
          <a:chOff x="0" y="114300"/>
          <a:chExt cx="9050846" cy="1082842"/>
        </a:xfrm>
      </xdr:grpSpPr>
      <xdr:grpSp>
        <xdr:nvGrpSpPr>
          <xdr:cNvPr id="10" name="Agrupar 9">
            <a:extLst>
              <a:ext uri="{FF2B5EF4-FFF2-40B4-BE49-F238E27FC236}">
                <a16:creationId xmlns:a16="http://schemas.microsoft.com/office/drawing/2014/main" id="{423E6498-D8E3-AF88-2670-AAEE0E12BB4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2" name="Retângulo 11">
              <a:extLst>
                <a:ext uri="{FF2B5EF4-FFF2-40B4-BE49-F238E27FC236}">
                  <a16:creationId xmlns:a16="http://schemas.microsoft.com/office/drawing/2014/main" id="{E4EDAE04-11A9-AEB7-7670-1B204979BE0D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3" name="Elements">
              <a:extLst>
                <a:ext uri="{FF2B5EF4-FFF2-40B4-BE49-F238E27FC236}">
                  <a16:creationId xmlns:a16="http://schemas.microsoft.com/office/drawing/2014/main" id="{B9B84B30-434D-160F-F85F-CDF5A15A8AD3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B0A0971E-AAA5-AD57-E651-ED35DD40BBC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0" name="Forma Livre: Forma 19">
                <a:extLst>
                  <a:ext uri="{FF2B5EF4-FFF2-40B4-BE49-F238E27FC236}">
                    <a16:creationId xmlns:a16="http://schemas.microsoft.com/office/drawing/2014/main" id="{B27556D1-B0FE-2263-13D3-057F82EC284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1" name="Gráfico 1">
                <a:extLst>
                  <a:ext uri="{FF2B5EF4-FFF2-40B4-BE49-F238E27FC236}">
                    <a16:creationId xmlns:a16="http://schemas.microsoft.com/office/drawing/2014/main" id="{AAFDBD31-A93C-B360-6AED-3F139008946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BD874801-7DB5-F1FD-6163-F6744D309AE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99DB7E77-B321-1F8A-FA1B-E540EA283BB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1305466-0A0D-499C-83B3-FDEF4D2814B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F7DB792D-FC50-CF85-19D4-4F4048D19599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C058777-F354-534B-D46D-62A09AD1987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6" name="Gráfico 15">
                <a:extLst>
                  <a:ext uri="{FF2B5EF4-FFF2-40B4-BE49-F238E27FC236}">
                    <a16:creationId xmlns:a16="http://schemas.microsoft.com/office/drawing/2014/main" id="{FEB17A70-FA27-0E7A-EBD7-CDA7529D9DE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DCD1D127-2637-FD69-B849-6CB8C7FB6AD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Retângulo: Cantos Arredondados 17">
                <a:extLst>
                  <a:ext uri="{FF2B5EF4-FFF2-40B4-BE49-F238E27FC236}">
                    <a16:creationId xmlns:a16="http://schemas.microsoft.com/office/drawing/2014/main" id="{3A9B258E-8A8C-0AB3-7809-5CA44063A72C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Elipse 18">
                <a:extLst>
                  <a:ext uri="{FF2B5EF4-FFF2-40B4-BE49-F238E27FC236}">
                    <a16:creationId xmlns:a16="http://schemas.microsoft.com/office/drawing/2014/main" id="{A1232515-E05C-AAD2-998C-09631E0159C5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1" name="Imagem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402BEE2-E1B2-F845-791A-A5932DE144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1014517</xdr:colOff>
      <xdr:row>0</xdr:row>
      <xdr:rowOff>76200</xdr:rowOff>
    </xdr:from>
    <xdr:to>
      <xdr:col>7</xdr:col>
      <xdr:colOff>235698</xdr:colOff>
      <xdr:row>4</xdr:row>
      <xdr:rowOff>200025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D53C2D6B-C6B5-4D5E-B618-CBCADEFF87B2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675664" y="76200"/>
          <a:ext cx="6224858" cy="9306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PERDAS DE ENERGIA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0</xdr:col>
      <xdr:colOff>554935</xdr:colOff>
      <xdr:row>17</xdr:row>
      <xdr:rowOff>115956</xdr:rowOff>
    </xdr:from>
    <xdr:to>
      <xdr:col>5</xdr:col>
      <xdr:colOff>869675</xdr:colOff>
      <xdr:row>31</xdr:row>
      <xdr:rowOff>6129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1D56DDF-83C3-232D-8E06-3EC1515C2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4935" y="3544956"/>
          <a:ext cx="5830957" cy="25571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114300</xdr:colOff>
      <xdr:row>5</xdr:row>
      <xdr:rowOff>142875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A5F071A-819E-4684-A317-8E160C6832DB}"/>
            </a:ext>
          </a:extLst>
        </xdr:cNvPr>
        <xdr:cNvGrpSpPr/>
      </xdr:nvGrpSpPr>
      <xdr:grpSpPr>
        <a:xfrm>
          <a:off x="0" y="0"/>
          <a:ext cx="9482418" cy="1151404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127A93E6-D4B9-CD88-4DFF-2B2E955A8E8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A08D3E13-6E9C-3E81-B3E1-6DA6C13A27A6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FBCC3C80-C876-A632-2922-364B3E53985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328F8F71-B6EA-3672-4B57-93C724FC367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7903B161-4A84-E5EF-C83A-992FD8B5BE9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9D467A30-4442-B4A4-3623-58C342709D2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A144AFF7-F6BE-0A99-668B-E2AD10D8FDD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B4C55754-A5F1-9570-0A5D-E5CAECBF537B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4EDC8E1C-4269-B0C9-0A5F-F5E006A18CB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81FE5D60-C59F-9B0F-27AE-88C97FD87E60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C00EB5FA-885A-198B-4935-832AF65503A4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26">
                <a:extLst>
                  <a:ext uri="{FF2B5EF4-FFF2-40B4-BE49-F238E27FC236}">
                    <a16:creationId xmlns:a16="http://schemas.microsoft.com/office/drawing/2014/main" id="{4D6CA6C3-864F-0648-3899-1B33193120F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88855298-E91F-3A54-4FFD-00CDECA3DF8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88AFC3DA-3FA4-BA5B-5238-AD0B8320AE1B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14458808-DDEC-531C-0DC0-3990D77A583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D9B7FE2-328A-5705-5A91-887A1D67511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1084910</xdr:colOff>
      <xdr:row>1</xdr:row>
      <xdr:rowOff>47626</xdr:rowOff>
    </xdr:from>
    <xdr:to>
      <xdr:col>7</xdr:col>
      <xdr:colOff>171450</xdr:colOff>
      <xdr:row>5</xdr:row>
      <xdr:rowOff>5443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E725423A-3E12-4D28-987E-292817BD026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742135" y="247651"/>
          <a:ext cx="6887515" cy="7579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DEC e FEC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7843</xdr:rowOff>
    </xdr:from>
    <xdr:to>
      <xdr:col>11</xdr:col>
      <xdr:colOff>190500</xdr:colOff>
      <xdr:row>6</xdr:row>
      <xdr:rowOff>33618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DF1301D7-3BE7-4661-A592-505C2100A0C7}"/>
            </a:ext>
          </a:extLst>
        </xdr:cNvPr>
        <xdr:cNvGrpSpPr/>
      </xdr:nvGrpSpPr>
      <xdr:grpSpPr>
        <a:xfrm>
          <a:off x="0" y="7843"/>
          <a:ext cx="9307286" cy="1168775"/>
          <a:chOff x="0" y="114300"/>
          <a:chExt cx="9050846" cy="1082842"/>
        </a:xfrm>
      </xdr:grpSpPr>
      <xdr:grpSp>
        <xdr:nvGrpSpPr>
          <xdr:cNvPr id="10" name="Agrupar 9">
            <a:extLst>
              <a:ext uri="{FF2B5EF4-FFF2-40B4-BE49-F238E27FC236}">
                <a16:creationId xmlns:a16="http://schemas.microsoft.com/office/drawing/2014/main" id="{D36317AF-8E65-CB25-6D17-3CA395F3698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2" name="Retângulo 11">
              <a:extLst>
                <a:ext uri="{FF2B5EF4-FFF2-40B4-BE49-F238E27FC236}">
                  <a16:creationId xmlns:a16="http://schemas.microsoft.com/office/drawing/2014/main" id="{9ECEAC22-8A5B-9A5C-4CD5-461AAC811D5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3" name="Elements">
              <a:extLst>
                <a:ext uri="{FF2B5EF4-FFF2-40B4-BE49-F238E27FC236}">
                  <a16:creationId xmlns:a16="http://schemas.microsoft.com/office/drawing/2014/main" id="{03195097-FBD6-7611-65EE-5C2D493A618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3DFC2E0D-E53A-541D-C5C0-854C343DBC8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0" name="Forma Livre: Forma 19">
                <a:extLst>
                  <a:ext uri="{FF2B5EF4-FFF2-40B4-BE49-F238E27FC236}">
                    <a16:creationId xmlns:a16="http://schemas.microsoft.com/office/drawing/2014/main" id="{B485F4A6-9E12-2847-5558-F30B26805383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1" name="Gráfico 1">
                <a:extLst>
                  <a:ext uri="{FF2B5EF4-FFF2-40B4-BE49-F238E27FC236}">
                    <a16:creationId xmlns:a16="http://schemas.microsoft.com/office/drawing/2014/main" id="{EEFBEDBC-BCAF-9184-877E-84175E8DB898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4ED819F-6B6B-85C6-9AF7-D4ECD507953D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C8E56856-D5E9-2170-14E1-A6E56F1B9C4F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8E03BD72-F1CC-5405-CBEC-E52D97FAF69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F4325408-3316-7A49-A41A-BFDE2A262E91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99BEF438-B159-271F-548A-05FA7F357522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6" name="Gráfico 15">
                <a:extLst>
                  <a:ext uri="{FF2B5EF4-FFF2-40B4-BE49-F238E27FC236}">
                    <a16:creationId xmlns:a16="http://schemas.microsoft.com/office/drawing/2014/main" id="{C0D4803E-6B2B-67D4-3C72-00CDEF87304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F5A0D3C0-721F-E542-BED5-F3FAB7224C53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Retângulo: Cantos Arredondados 17">
                <a:extLst>
                  <a:ext uri="{FF2B5EF4-FFF2-40B4-BE49-F238E27FC236}">
                    <a16:creationId xmlns:a16="http://schemas.microsoft.com/office/drawing/2014/main" id="{E3F35541-3D41-33B2-CE0D-8F791F16EFF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Elipse 18">
                <a:extLst>
                  <a:ext uri="{FF2B5EF4-FFF2-40B4-BE49-F238E27FC236}">
                    <a16:creationId xmlns:a16="http://schemas.microsoft.com/office/drawing/2014/main" id="{60586A73-1673-3DE5-D1C7-7C725375C92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1" name="Imagem 10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926A6CA-95DE-3D63-05EB-6CCED669EAF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5434" y="509748"/>
            <a:ext cx="1031955" cy="508047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1023234</xdr:colOff>
      <xdr:row>1</xdr:row>
      <xdr:rowOff>110940</xdr:rowOff>
    </xdr:from>
    <xdr:to>
      <xdr:col>9</xdr:col>
      <xdr:colOff>536202</xdr:colOff>
      <xdr:row>6</xdr:row>
      <xdr:rowOff>179296</xdr:rowOff>
    </xdr:to>
    <xdr:sp macro="" textlink="">
      <xdr:nvSpPr>
        <xdr:cNvPr id="26" name="CaixaDeTexto 25">
          <a:extLst>
            <a:ext uri="{FF2B5EF4-FFF2-40B4-BE49-F238E27FC236}">
              <a16:creationId xmlns:a16="http://schemas.microsoft.com/office/drawing/2014/main" id="{3B71EEF9-52B0-4D5F-9ED2-E9D4915E550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303381" y="301440"/>
          <a:ext cx="7054527" cy="102085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TAXA DE ARRECADAÇÃO</a:t>
          </a:r>
        </a:p>
        <a:p>
          <a:pPr marL="0" indent="0" algn="ctr"/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627529</xdr:colOff>
      <xdr:row>7</xdr:row>
      <xdr:rowOff>168087</xdr:rowOff>
    </xdr:from>
    <xdr:to>
      <xdr:col>7</xdr:col>
      <xdr:colOff>638736</xdr:colOff>
      <xdr:row>26</xdr:row>
      <xdr:rowOff>94032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2416EF43-9006-BCB9-2B45-7311C7011E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07676" y="1501587"/>
          <a:ext cx="6073589" cy="3545445"/>
        </a:xfrm>
        <a:prstGeom prst="rect">
          <a:avLst/>
        </a:prstGeom>
      </xdr:spPr>
    </xdr:pic>
    <xdr:clientData/>
  </xdr:twoCellAnchor>
  <xdr:twoCellAnchor editAs="oneCell">
    <xdr:from>
      <xdr:col>1</xdr:col>
      <xdr:colOff>515463</xdr:colOff>
      <xdr:row>27</xdr:row>
      <xdr:rowOff>67234</xdr:rowOff>
    </xdr:from>
    <xdr:to>
      <xdr:col>7</xdr:col>
      <xdr:colOff>683559</xdr:colOff>
      <xdr:row>47</xdr:row>
      <xdr:rowOff>138929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2EC3E7B7-88DD-722D-FE25-DA01784AF1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795610" y="5210734"/>
          <a:ext cx="6230478" cy="388169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</xdr:rowOff>
    </xdr:from>
    <xdr:to>
      <xdr:col>8</xdr:col>
      <xdr:colOff>653143</xdr:colOff>
      <xdr:row>6</xdr:row>
      <xdr:rowOff>57151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8092678-2D39-4A94-A08F-0050D471C2A7}"/>
            </a:ext>
          </a:extLst>
        </xdr:cNvPr>
        <xdr:cNvGrpSpPr/>
      </xdr:nvGrpSpPr>
      <xdr:grpSpPr>
        <a:xfrm>
          <a:off x="0" y="3"/>
          <a:ext cx="9865179" cy="1200148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0858DBFC-1F60-1AE3-9BFB-A79920AF134F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31A289C3-BB4B-48BB-E970-98AFE9992DE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B5F6510C-E624-583D-0BCD-2C4BAED8BF38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8086FDE7-7B6B-BC01-FA06-A40150A30099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06654FC9-4B3F-6F2F-5F5E-52FBCAC43D4F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2A3CC8F3-87C2-A3E2-3F7C-CCDCA30A0F23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00ED63A2-866F-4231-68A2-2B8FC14E5D8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D8DA9793-BF06-6EEF-1453-CE65C25FF796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0F07BC02-39E0-645A-CB15-E0F472969011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DDA6130E-29DD-2D66-7AEA-A928B864D849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E9CBB4C1-5B90-674F-2468-470802FBDB20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15">
                <a:extLst>
                  <a:ext uri="{FF2B5EF4-FFF2-40B4-BE49-F238E27FC236}">
                    <a16:creationId xmlns:a16="http://schemas.microsoft.com/office/drawing/2014/main" id="{7067B53F-A47C-51AE-193A-C8CB67604BC3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3AF45196-79E6-1D5E-26A9-833979F7F375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C4D77692-E2DB-27F1-76DA-4B2EC4CD67A0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9415A7F5-1B7F-76DE-013F-412FC4FC9D3B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509EFCE7-EB6A-5D42-02BF-36B410797D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2547896</xdr:colOff>
      <xdr:row>0</xdr:row>
      <xdr:rowOff>90534</xdr:rowOff>
    </xdr:from>
    <xdr:to>
      <xdr:col>5</xdr:col>
      <xdr:colOff>598713</xdr:colOff>
      <xdr:row>5</xdr:row>
      <xdr:rowOff>95250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D9CEF7F6-6495-45C0-9A9E-F169CC8C32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3201039" y="90534"/>
          <a:ext cx="4391745" cy="95721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800" b="1">
              <a:solidFill>
                <a:schemeClr val="bg1"/>
              </a:solidFill>
              <a:latin typeface="+mj-lt"/>
              <a:ea typeface="+mj-lt"/>
              <a:cs typeface="+mj-lt"/>
            </a:rPr>
            <a:t>RECEITA OPERACIONAL</a:t>
          </a:r>
          <a:endParaRPr lang="en-US" sz="28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324972</xdr:colOff>
      <xdr:row>6</xdr:row>
      <xdr:rowOff>0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8FAE3244-DA36-4EB7-AF22-79410AC70401}"/>
            </a:ext>
          </a:extLst>
        </xdr:cNvPr>
        <xdr:cNvGrpSpPr/>
      </xdr:nvGrpSpPr>
      <xdr:grpSpPr>
        <a:xfrm>
          <a:off x="1" y="0"/>
          <a:ext cx="10051677" cy="1143000"/>
          <a:chOff x="0" y="114300"/>
          <a:chExt cx="9050846" cy="1082842"/>
        </a:xfrm>
      </xdr:grpSpPr>
      <xdr:grpSp>
        <xdr:nvGrpSpPr>
          <xdr:cNvPr id="3" name="Agrupar 2">
            <a:extLst>
              <a:ext uri="{FF2B5EF4-FFF2-40B4-BE49-F238E27FC236}">
                <a16:creationId xmlns:a16="http://schemas.microsoft.com/office/drawing/2014/main" id="{ECC46E4F-4B9E-BE42-DE33-76205C94C1C1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5" name="Retângulo 4">
              <a:extLst>
                <a:ext uri="{FF2B5EF4-FFF2-40B4-BE49-F238E27FC236}">
                  <a16:creationId xmlns:a16="http://schemas.microsoft.com/office/drawing/2014/main" id="{518ECAB4-D5DA-2553-051C-E4DB1ED96DD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6" name="Elements">
              <a:extLst>
                <a:ext uri="{FF2B5EF4-FFF2-40B4-BE49-F238E27FC236}">
                  <a16:creationId xmlns:a16="http://schemas.microsoft.com/office/drawing/2014/main" id="{37DA7B5D-9EA1-8C3F-CACE-190D9A95C7B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7" name="Agrupar 6">
              <a:extLst>
                <a:ext uri="{FF2B5EF4-FFF2-40B4-BE49-F238E27FC236}">
                  <a16:creationId xmlns:a16="http://schemas.microsoft.com/office/drawing/2014/main" id="{516F762A-B92A-5FCA-00A4-74AAE738704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1" name="Forma Livre: Forma 30">
                <a:extLst>
                  <a:ext uri="{FF2B5EF4-FFF2-40B4-BE49-F238E27FC236}">
                    <a16:creationId xmlns:a16="http://schemas.microsoft.com/office/drawing/2014/main" id="{F0F80A26-B738-B5CE-76E5-3D969EB42D8D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2" name="Gráfico 1">
                <a:extLst>
                  <a:ext uri="{FF2B5EF4-FFF2-40B4-BE49-F238E27FC236}">
                    <a16:creationId xmlns:a16="http://schemas.microsoft.com/office/drawing/2014/main" id="{6928B11D-BBF8-01DC-80BC-D23F4FDCAEEC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3" name="Forma Livre: Forma 32">
                  <a:extLst>
                    <a:ext uri="{FF2B5EF4-FFF2-40B4-BE49-F238E27FC236}">
                      <a16:creationId xmlns:a16="http://schemas.microsoft.com/office/drawing/2014/main" id="{B2A72F88-44CE-17CD-9B45-F0A69040D89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4" name="Forma Livre: Forma 33">
                  <a:extLst>
                    <a:ext uri="{FF2B5EF4-FFF2-40B4-BE49-F238E27FC236}">
                      <a16:creationId xmlns:a16="http://schemas.microsoft.com/office/drawing/2014/main" id="{88807A0C-0425-EA30-20C3-B508CF6A595C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5" name="Forma Livre: Forma 34">
                  <a:extLst>
                    <a:ext uri="{FF2B5EF4-FFF2-40B4-BE49-F238E27FC236}">
                      <a16:creationId xmlns:a16="http://schemas.microsoft.com/office/drawing/2014/main" id="{9A668F7F-55AD-2B6E-7B97-B50F7538E23B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BA837D9E-4586-3A47-6D3D-FFB2BE6342C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6" name="Agrupar 25">
              <a:extLst>
                <a:ext uri="{FF2B5EF4-FFF2-40B4-BE49-F238E27FC236}">
                  <a16:creationId xmlns:a16="http://schemas.microsoft.com/office/drawing/2014/main" id="{06B8F054-33EF-B3CE-64B6-72396A05F04A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27" name="Gráfico 15">
                <a:extLst>
                  <a:ext uri="{FF2B5EF4-FFF2-40B4-BE49-F238E27FC236}">
                    <a16:creationId xmlns:a16="http://schemas.microsoft.com/office/drawing/2014/main" id="{0EC3CF51-BB60-EEEE-082C-7B7A032B9610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28" name="Elipse 27">
                <a:extLst>
                  <a:ext uri="{FF2B5EF4-FFF2-40B4-BE49-F238E27FC236}">
                    <a16:creationId xmlns:a16="http://schemas.microsoft.com/office/drawing/2014/main" id="{C550D54D-6C84-F581-E128-6BE7734BE369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9" name="Retângulo: Cantos Arredondados 28">
                <a:extLst>
                  <a:ext uri="{FF2B5EF4-FFF2-40B4-BE49-F238E27FC236}">
                    <a16:creationId xmlns:a16="http://schemas.microsoft.com/office/drawing/2014/main" id="{96FE7341-9DAA-8873-7423-8113FAC733A0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0" name="Elipse 29">
                <a:extLst>
                  <a:ext uri="{FF2B5EF4-FFF2-40B4-BE49-F238E27FC236}">
                    <a16:creationId xmlns:a16="http://schemas.microsoft.com/office/drawing/2014/main" id="{311414AB-E6EA-1972-F325-1B58112DA3F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4" name="Imagem 3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69BF9403-8C6D-6B8D-CF5D-5107CA5C53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999446</xdr:colOff>
      <xdr:row>1</xdr:row>
      <xdr:rowOff>6491</xdr:rowOff>
    </xdr:from>
    <xdr:to>
      <xdr:col>7</xdr:col>
      <xdr:colOff>102853</xdr:colOff>
      <xdr:row>4</xdr:row>
      <xdr:rowOff>184073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248B8498-1129-46F5-BAE3-A4639075199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660593" y="196991"/>
          <a:ext cx="7418172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CUSTOS E DESPESAS OPERACIONAIS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4</xdr:row>
      <xdr:rowOff>0</xdr:rowOff>
    </xdr:from>
    <xdr:to>
      <xdr:col>10</xdr:col>
      <xdr:colOff>0</xdr:colOff>
      <xdr:row>5</xdr:row>
      <xdr:rowOff>14288</xdr:rowOff>
    </xdr:to>
    <xdr:grpSp>
      <xdr:nvGrpSpPr>
        <xdr:cNvPr id="3" name="Agrupar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pSpPr/>
      </xdr:nvGrpSpPr>
      <xdr:grpSpPr>
        <a:xfrm>
          <a:off x="10847294" y="762000"/>
          <a:ext cx="0" cy="204788"/>
          <a:chOff x="7817675" y="768144"/>
          <a:chExt cx="918516" cy="249238"/>
        </a:xfrm>
      </xdr:grpSpPr>
      <xdr:sp macro="" textlink="">
        <xdr:nvSpPr>
          <xdr:cNvPr id="4" name="Retângulo Arredondado 5">
            <a:extLst>
              <a:ext uri="{FF2B5EF4-FFF2-40B4-BE49-F238E27FC236}">
                <a16:creationId xmlns:a16="http://schemas.microsoft.com/office/drawing/2014/main" id="{00000000-0008-0000-0500-000004000000}"/>
              </a:ext>
            </a:extLst>
          </xdr:cNvPr>
          <xdr:cNvSpPr/>
        </xdr:nvSpPr>
        <xdr:spPr>
          <a:xfrm>
            <a:off x="7817675" y="768144"/>
            <a:ext cx="918516" cy="249238"/>
          </a:xfrm>
          <a:prstGeom prst="roundRect">
            <a:avLst>
              <a:gd name="adj" fmla="val 9474"/>
            </a:avLst>
          </a:prstGeom>
          <a:solidFill>
            <a:srgbClr val="008228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r"/>
            <a:r>
              <a:rPr lang="pt-BR" sz="900" b="1">
                <a:solidFill>
                  <a:srgbClr val="D7F83C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VOLTAR</a:t>
            </a:r>
          </a:p>
        </xdr:txBody>
      </xdr:sp>
      <xdr:sp macro="" textlink="">
        <xdr:nvSpPr>
          <xdr:cNvPr id="5" name="Seta para a Direita 6">
            <a:extLst>
              <a:ext uri="{FF2B5EF4-FFF2-40B4-BE49-F238E27FC236}">
                <a16:creationId xmlns:a16="http://schemas.microsoft.com/office/drawing/2014/main" id="{00000000-0008-0000-0500-000005000000}"/>
              </a:ext>
            </a:extLst>
          </xdr:cNvPr>
          <xdr:cNvSpPr/>
        </xdr:nvSpPr>
        <xdr:spPr>
          <a:xfrm rot="10800000">
            <a:off x="7881924" y="811562"/>
            <a:ext cx="158316" cy="165212"/>
          </a:xfrm>
          <a:prstGeom prst="rightArrow">
            <a:avLst>
              <a:gd name="adj1" fmla="val 50000"/>
              <a:gd name="adj2" fmla="val 57948"/>
            </a:avLst>
          </a:prstGeom>
          <a:solidFill>
            <a:schemeClr val="bg1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pt-BR" sz="1050"/>
          </a:p>
        </xdr:txBody>
      </xdr:sp>
    </xdr:grpSp>
    <xdr:clientData/>
  </xdr:twoCellAnchor>
  <xdr:twoCellAnchor>
    <xdr:from>
      <xdr:col>0</xdr:col>
      <xdr:colOff>1</xdr:colOff>
      <xdr:row>0</xdr:row>
      <xdr:rowOff>1</xdr:rowOff>
    </xdr:from>
    <xdr:to>
      <xdr:col>7</xdr:col>
      <xdr:colOff>582706</xdr:colOff>
      <xdr:row>5</xdr:row>
      <xdr:rowOff>152401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D1DD53A3-BE97-425F-9DE2-D2F66B104434}"/>
            </a:ext>
          </a:extLst>
        </xdr:cNvPr>
        <xdr:cNvGrpSpPr/>
      </xdr:nvGrpSpPr>
      <xdr:grpSpPr>
        <a:xfrm>
          <a:off x="1" y="1"/>
          <a:ext cx="9379323" cy="1104900"/>
          <a:chOff x="0" y="114300"/>
          <a:chExt cx="9050846" cy="1082842"/>
        </a:xfrm>
      </xdr:grpSpPr>
      <xdr:grpSp>
        <xdr:nvGrpSpPr>
          <xdr:cNvPr id="6" name="Agrupar 5">
            <a:extLst>
              <a:ext uri="{FF2B5EF4-FFF2-40B4-BE49-F238E27FC236}">
                <a16:creationId xmlns:a16="http://schemas.microsoft.com/office/drawing/2014/main" id="{26E227BE-DB4E-93CD-ABD0-D02304A47B27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8" name="Retângulo 7">
              <a:extLst>
                <a:ext uri="{FF2B5EF4-FFF2-40B4-BE49-F238E27FC236}">
                  <a16:creationId xmlns:a16="http://schemas.microsoft.com/office/drawing/2014/main" id="{61DC14D4-9974-2E8B-933D-2BA79583D0B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9" name="Elements">
              <a:extLst>
                <a:ext uri="{FF2B5EF4-FFF2-40B4-BE49-F238E27FC236}">
                  <a16:creationId xmlns:a16="http://schemas.microsoft.com/office/drawing/2014/main" id="{3A265D8E-BB96-3CE6-61A0-9AE5D68CAC01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2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28" name="Agrupar 27">
              <a:extLst>
                <a:ext uri="{FF2B5EF4-FFF2-40B4-BE49-F238E27FC236}">
                  <a16:creationId xmlns:a16="http://schemas.microsoft.com/office/drawing/2014/main" id="{FE6503BA-63C7-B087-8A66-5EECCB9191C5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34" name="Forma Livre: Forma 33">
                <a:extLst>
                  <a:ext uri="{FF2B5EF4-FFF2-40B4-BE49-F238E27FC236}">
                    <a16:creationId xmlns:a16="http://schemas.microsoft.com/office/drawing/2014/main" id="{3C6F4F3E-EDD1-1649-A383-AC21B2B0ADEE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35" name="Gráfico 1">
                <a:extLst>
                  <a:ext uri="{FF2B5EF4-FFF2-40B4-BE49-F238E27FC236}">
                    <a16:creationId xmlns:a16="http://schemas.microsoft.com/office/drawing/2014/main" id="{39C39E34-B082-CF97-04BD-2ECA7E0FA59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36" name="Forma Livre: Forma 35">
                  <a:extLst>
                    <a:ext uri="{FF2B5EF4-FFF2-40B4-BE49-F238E27FC236}">
                      <a16:creationId xmlns:a16="http://schemas.microsoft.com/office/drawing/2014/main" id="{D42CCEAC-C168-3A44-208E-F593074800A9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7" name="Forma Livre: Forma 36">
                  <a:extLst>
                    <a:ext uri="{FF2B5EF4-FFF2-40B4-BE49-F238E27FC236}">
                      <a16:creationId xmlns:a16="http://schemas.microsoft.com/office/drawing/2014/main" id="{53E7C8F6-65EF-469C-FA08-2ED65980E1E7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8" name="Forma Livre: Forma 37">
                  <a:extLst>
                    <a:ext uri="{FF2B5EF4-FFF2-40B4-BE49-F238E27FC236}">
                      <a16:creationId xmlns:a16="http://schemas.microsoft.com/office/drawing/2014/main" id="{B64D340B-8A6E-9EA7-7DB3-136E5C779876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39" name="Forma Livre: Forma 38">
                  <a:extLst>
                    <a:ext uri="{FF2B5EF4-FFF2-40B4-BE49-F238E27FC236}">
                      <a16:creationId xmlns:a16="http://schemas.microsoft.com/office/drawing/2014/main" id="{8F64B17D-22B6-F866-2FE6-FF121C8D3E0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29" name="Agrupar 28">
              <a:extLst>
                <a:ext uri="{FF2B5EF4-FFF2-40B4-BE49-F238E27FC236}">
                  <a16:creationId xmlns:a16="http://schemas.microsoft.com/office/drawing/2014/main" id="{160E1FEA-D1DA-CC7F-4249-8FE69D44F7B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30" name="Gráfico 15">
                <a:extLst>
                  <a:ext uri="{FF2B5EF4-FFF2-40B4-BE49-F238E27FC236}">
                    <a16:creationId xmlns:a16="http://schemas.microsoft.com/office/drawing/2014/main" id="{1175AC69-B824-1E58-6A1B-2766D723243E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3">
                <a:extLst>
                  <a:ext uri="{96DAC541-7B7A-43D3-8B79-37D633B846F1}">
                    <asvg:svgBlip xmlns:asvg="http://schemas.microsoft.com/office/drawing/2016/SVG/main" r:embed="rId4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31" name="Elipse 30">
                <a:extLst>
                  <a:ext uri="{FF2B5EF4-FFF2-40B4-BE49-F238E27FC236}">
                    <a16:creationId xmlns:a16="http://schemas.microsoft.com/office/drawing/2014/main" id="{B089E433-B7E8-7AAE-59B0-795F415B60E0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2" name="Retângulo: Cantos Arredondados 31">
                <a:extLst>
                  <a:ext uri="{FF2B5EF4-FFF2-40B4-BE49-F238E27FC236}">
                    <a16:creationId xmlns:a16="http://schemas.microsoft.com/office/drawing/2014/main" id="{0B2B1E59-8463-2F7C-CAA5-4224053E420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33" name="Elipse 32">
                <a:extLst>
                  <a:ext uri="{FF2B5EF4-FFF2-40B4-BE49-F238E27FC236}">
                    <a16:creationId xmlns:a16="http://schemas.microsoft.com/office/drawing/2014/main" id="{02F4B578-CB05-3652-E90F-0FFB31E6A9F8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7" name="Imagem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2856E0-0617-4D41-989E-CFC0063120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>
            <a:extLst>
              <a:ext uri="{BEBA8EAE-BF5A-486C-A8C5-ECC9F3942E4B}">
                <a14:imgProps xmlns:a14="http://schemas.microsoft.com/office/drawing/2010/main">
                  <a14:imgLayer r:embed="rId7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451053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1086970</xdr:colOff>
      <xdr:row>0</xdr:row>
      <xdr:rowOff>83233</xdr:rowOff>
    </xdr:from>
    <xdr:to>
      <xdr:col>6</xdr:col>
      <xdr:colOff>888744</xdr:colOff>
      <xdr:row>5</xdr:row>
      <xdr:rowOff>142875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58B4FD14-0414-41DB-9930-0C3446225020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748117" y="83233"/>
          <a:ext cx="6995951" cy="10121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ENERGIA ELÉTRICA COMPRADA PARA REVENDA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247650</xdr:colOff>
      <xdr:row>5</xdr:row>
      <xdr:rowOff>142875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627090-2EA5-499A-9D77-36D7EB66E940}"/>
            </a:ext>
          </a:extLst>
        </xdr:cNvPr>
        <xdr:cNvGrpSpPr/>
      </xdr:nvGrpSpPr>
      <xdr:grpSpPr>
        <a:xfrm>
          <a:off x="0" y="0"/>
          <a:ext cx="9582150" cy="1258661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7B7B52F5-A283-5C98-9BD3-F3F662F5334F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5D83D80A-1067-23B3-71EB-D7487B3D6F55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94DEDE01-A5E4-CBA9-2355-F051564592E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E2DA55F9-329D-50A4-E9A4-475893CA954B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AB99D55F-3B3A-8251-5D56-88D306989476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CDA0028-A1B6-8135-C252-D4A77999A276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AB7800E1-9376-ACDD-8193-256CAA9D29D7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C507AA71-25D6-AF41-5DDB-249446F62F7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FC08B4CE-6419-5703-188E-38C82B4F2CF3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EBA9B0C-8BF0-3705-9861-E65356A6EA9E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DD7FD34A-61BB-04CB-4A81-BEE4EA8B997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C69A1BB-F2FB-341C-1130-69ABACE74CDB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F6032874-C414-4C37-800A-A21C89410B58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ADF09B7F-0AAC-F513-1420-B9B80E547D3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BDF1684-0AFE-EF63-4822-2BE715CCB50F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D81953D-C002-F836-F8F4-660558D426A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377948"/>
            <a:ext cx="953484" cy="60121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1201432</xdr:colOff>
      <xdr:row>1</xdr:row>
      <xdr:rowOff>23864</xdr:rowOff>
    </xdr:from>
    <xdr:to>
      <xdr:col>6</xdr:col>
      <xdr:colOff>44825</xdr:colOff>
      <xdr:row>4</xdr:row>
      <xdr:rowOff>121575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AA9B4DD5-89ED-4A8F-8093-4B3A4FB6A246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62579" y="259188"/>
          <a:ext cx="6026364" cy="7588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RESULTADO FINANCEIRO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8192</xdr:colOff>
      <xdr:row>0</xdr:row>
      <xdr:rowOff>3934</xdr:rowOff>
    </xdr:from>
    <xdr:to>
      <xdr:col>10</xdr:col>
      <xdr:colOff>133350</xdr:colOff>
      <xdr:row>6</xdr:row>
      <xdr:rowOff>100853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4AA54E2A-ED28-4E87-822F-6F2098ABCF81}"/>
            </a:ext>
          </a:extLst>
        </xdr:cNvPr>
        <xdr:cNvGrpSpPr/>
      </xdr:nvGrpSpPr>
      <xdr:grpSpPr>
        <a:xfrm>
          <a:off x="8192" y="3934"/>
          <a:ext cx="10580246" cy="1239919"/>
          <a:chOff x="-16514" y="114300"/>
          <a:chExt cx="9067360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B182495E-4721-4CBB-39A1-27CF78863ADA}"/>
              </a:ext>
            </a:extLst>
          </xdr:cNvPr>
          <xdr:cNvGrpSpPr/>
        </xdr:nvGrpSpPr>
        <xdr:grpSpPr>
          <a:xfrm>
            <a:off x="-16514" y="114300"/>
            <a:ext cx="9067360" cy="1082842"/>
            <a:chOff x="-16566" y="114300"/>
            <a:chExt cx="9095486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A447BBD8-C0B1-DACA-E6FC-3672F1759A6D}"/>
                </a:ext>
              </a:extLst>
            </xdr:cNvPr>
            <xdr:cNvSpPr/>
          </xdr:nvSpPr>
          <xdr:spPr>
            <a:xfrm>
              <a:off x="-16566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D312AE3-1CB0-750A-703E-FA87DD01A427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77CF9D60-CE06-F889-3D3B-5CAD00620E84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2A9A75EC-CACF-BA98-E758-A4B47EC88C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ADD2A924-0662-4EEF-9DCE-A053662A8C19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1E484417-4C8F-B621-A55A-E05F461CCDA2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915FA957-217E-9260-CB2B-FA2D152424FE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02FF200D-F747-C679-FCD8-5F28AE702C15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1A419D1E-FC1A-826D-C18F-D76EED8A686B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7B6CB8A-1B57-1961-7A50-0C568A7EBD1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761CB60-254C-9613-A6CC-C9A4F517E025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AF00B7A1-CA7E-3D80-2036-8D28D3DE69C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C2FE3B56-558D-68D7-A2A0-F1AA961CDB8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3D478BFA-4787-521C-481B-E32EA14B8C6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D7E67CE7-53F3-4B32-DD3F-B60543D8223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63905" y="509748"/>
            <a:ext cx="953484" cy="469415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1178380</xdr:colOff>
      <xdr:row>1</xdr:row>
      <xdr:rowOff>132384</xdr:rowOff>
    </xdr:from>
    <xdr:to>
      <xdr:col>8</xdr:col>
      <xdr:colOff>702129</xdr:colOff>
      <xdr:row>5</xdr:row>
      <xdr:rowOff>88064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69E096A-6907-4B97-98BD-2F5ABFC0756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31523" y="322884"/>
          <a:ext cx="7565570" cy="7176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ENDIVIDAMENTO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6058</xdr:colOff>
      <xdr:row>0</xdr:row>
      <xdr:rowOff>8547</xdr:rowOff>
    </xdr:from>
    <xdr:to>
      <xdr:col>4</xdr:col>
      <xdr:colOff>1123949</xdr:colOff>
      <xdr:row>5</xdr:row>
      <xdr:rowOff>82767</xdr:rowOff>
    </xdr:to>
    <xdr:grpSp>
      <xdr:nvGrpSpPr>
        <xdr:cNvPr id="9" name="Agrupar 8">
          <a:extLst>
            <a:ext uri="{FF2B5EF4-FFF2-40B4-BE49-F238E27FC236}">
              <a16:creationId xmlns:a16="http://schemas.microsoft.com/office/drawing/2014/main" id="{084B7169-1708-4699-B51D-5BD209353027}"/>
            </a:ext>
          </a:extLst>
        </xdr:cNvPr>
        <xdr:cNvGrpSpPr/>
      </xdr:nvGrpSpPr>
      <xdr:grpSpPr>
        <a:xfrm>
          <a:off x="6058" y="8547"/>
          <a:ext cx="8334479" cy="1026720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E0A5557B-8CBE-5EAE-B73E-A11C890C7569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30A0B9B4-CFE6-1AA4-897C-F74400C9018A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0798B260-BF27-1BF9-CD29-F8BA447B43A2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160B652-F0AB-09E0-8F27-697D21C37086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AF4F90A2-A7BB-CEF5-DE7F-D8C333E73D27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4BCFE1BF-12DC-1FBE-88E0-06FAE9CCDF62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BD8C4E2F-AF3B-30B0-AC55-4A7F249F66B0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CD7F3AE3-9C92-AC8B-85B2-12EE99FAE83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308C6F29-BF0A-FE3B-AED2-1B17ABF0F31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2523AFD7-046E-7231-27CA-E0B166E54E14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138B327E-91E6-4047-FB13-F6B4902DA7E6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320F559A-CBDC-CEFA-1FCF-6BFCFC6CD486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F018D66-1C7A-ACD9-0420-8A13226512AC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4026E2C-4AF8-2CB9-B2BF-247057F66D9A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755E2ED-AF21-29E0-7A1C-29DEACA862C2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85F4E97E-9F93-D6CD-C62F-7145052412F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1725590</xdr:colOff>
      <xdr:row>1</xdr:row>
      <xdr:rowOff>10134</xdr:rowOff>
    </xdr:from>
    <xdr:to>
      <xdr:col>3</xdr:col>
      <xdr:colOff>699404</xdr:colOff>
      <xdr:row>4</xdr:row>
      <xdr:rowOff>79248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979961AC-3413-40BF-A2C1-752EBCF997C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639990" y="200634"/>
          <a:ext cx="3774414" cy="6406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600" b="1">
              <a:solidFill>
                <a:schemeClr val="bg1"/>
              </a:solidFill>
              <a:latin typeface="+mj-lt"/>
              <a:ea typeface="+mj-lt"/>
              <a:cs typeface="+mj-lt"/>
            </a:rPr>
            <a:t>INVESTIMENTOS</a:t>
          </a:r>
          <a:endParaRPr lang="en-US" sz="2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  <xdr:twoCellAnchor editAs="oneCell">
    <xdr:from>
      <xdr:col>1</xdr:col>
      <xdr:colOff>48699</xdr:colOff>
      <xdr:row>46</xdr:row>
      <xdr:rowOff>61233</xdr:rowOff>
    </xdr:from>
    <xdr:to>
      <xdr:col>4</xdr:col>
      <xdr:colOff>257040</xdr:colOff>
      <xdr:row>66</xdr:row>
      <xdr:rowOff>34020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6460FB9A-7DC3-6FCC-9F83-3D701AB13C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960378" y="9341304"/>
          <a:ext cx="6494841" cy="3782787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25</xdr:row>
      <xdr:rowOff>123263</xdr:rowOff>
    </xdr:from>
    <xdr:to>
      <xdr:col>4</xdr:col>
      <xdr:colOff>847041</xdr:colOff>
      <xdr:row>44</xdr:row>
      <xdr:rowOff>114242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036E6AF-DAAF-FAC7-2FC4-6CDB4EFE47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918882" y="5468469"/>
          <a:ext cx="7144747" cy="3610479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11194</xdr:colOff>
      <xdr:row>0</xdr:row>
      <xdr:rowOff>11207</xdr:rowOff>
    </xdr:from>
    <xdr:to>
      <xdr:col>7</xdr:col>
      <xdr:colOff>802822</xdr:colOff>
      <xdr:row>6</xdr:row>
      <xdr:rowOff>123265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7703C5F8-FD7A-4144-914E-2017FBC5CEE5}"/>
            </a:ext>
          </a:extLst>
        </xdr:cNvPr>
        <xdr:cNvGrpSpPr/>
      </xdr:nvGrpSpPr>
      <xdr:grpSpPr>
        <a:xfrm>
          <a:off x="11194" y="11207"/>
          <a:ext cx="11241914" cy="1255058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329C0C7C-20C2-D54D-9E41-ACC19F025E5D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D6C3C8C8-8FAD-38D7-D801-6E89771AED20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0B8BBB6E-5D4E-AC98-0047-DAB5F75D878A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1803C3-C08E-5124-DBC1-AE186B5CC768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0D603C7-71C5-3B44-8D5A-E9F7D7A7794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B58496B2-814C-C181-64CE-F72B11DBDE35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495F338F-6287-EAE9-9984-6EE66F863F3B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EFE70348-B380-61E1-2D70-7CFB5769D55D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6A8E98F9-EE65-2520-675B-729526C5033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AE71118-1060-30A5-9017-857AEF8C9298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C5160979-5D57-4F91-9170-5C012A724579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896928B8-0EE0-F105-023A-9E0B8620AD2D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471CAAA-287F-183C-78D8-ABFA1C208A4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6C5D2161-BEA1-8AEA-0187-A56D970DE9F7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486D30A6-35B2-3CF8-18EB-0A32BAB1AAE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BAD4A3-5905-A59F-F409-15EB9BA129A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1448643</xdr:colOff>
      <xdr:row>1</xdr:row>
      <xdr:rowOff>24705</xdr:rowOff>
    </xdr:from>
    <xdr:to>
      <xdr:col>6</xdr:col>
      <xdr:colOff>1193192</xdr:colOff>
      <xdr:row>6</xdr:row>
      <xdr:rowOff>21439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60F4744E-49F3-4B11-B470-B8DB06CEC069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16036" y="215205"/>
          <a:ext cx="8480335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ATIVO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7</xdr:col>
      <xdr:colOff>692727</xdr:colOff>
      <xdr:row>7</xdr:row>
      <xdr:rowOff>40823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98177814-6997-4D7D-804E-E4946C8DB307}"/>
            </a:ext>
          </a:extLst>
        </xdr:cNvPr>
        <xdr:cNvGrpSpPr/>
      </xdr:nvGrpSpPr>
      <xdr:grpSpPr>
        <a:xfrm>
          <a:off x="0" y="9526"/>
          <a:ext cx="11932227" cy="1283154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47459B81-FC02-3B9D-9508-53C2E2C36CB8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DBA261B7-B244-DE63-FB5A-53A21E9B1C61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CF09B2ED-3108-5E2C-A2F3-DABDCAB533CC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BB66ED6D-D704-09DE-E979-1C76D578A80A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D897BF16-C8C0-1054-D60E-43DEE7F6534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716ED961-84FC-FCC5-2B5B-36D23EF6118E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0E50B02D-6E6E-242B-91A6-D9694932FE7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6A4CE374-B153-71E0-79C5-FF58C5023FA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6B207982-AF0F-7375-73B4-FF9FD0AD6EE4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879E14B5-DD9F-1448-4F97-DC054FC50C46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537578D5-D83E-5705-8F90-2429248BE85F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24E9251D-EBA6-31DA-1849-C7DF41E7AA79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6275112-3A8B-F92A-FB0F-1AC12C89687D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EF50A300-D9C8-3094-1DA9-DD3EB6CA8A98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B89D2CB2-FC25-AA14-DE27-C62FBCB9E4F7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821176C-759D-A86D-6EC6-A29C21E7B8C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4959" y="509748"/>
            <a:ext cx="1032432" cy="543934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1219697</xdr:colOff>
      <xdr:row>1</xdr:row>
      <xdr:rowOff>23023</xdr:rowOff>
    </xdr:from>
    <xdr:to>
      <xdr:col>6</xdr:col>
      <xdr:colOff>874059</xdr:colOff>
      <xdr:row>5</xdr:row>
      <xdr:rowOff>210257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E96C39E0-401A-4E48-9059-E616DA783AFF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47226" y="213523"/>
          <a:ext cx="8944039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   BALANÇOS PATRIMONIAIS</a:t>
          </a:r>
          <a:b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</a:br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   PASSIVO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9524</xdr:rowOff>
    </xdr:from>
    <xdr:to>
      <xdr:col>9</xdr:col>
      <xdr:colOff>692728</xdr:colOff>
      <xdr:row>6</xdr:row>
      <xdr:rowOff>217714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65E7F666-FEF0-4B4A-88EF-932AF99B1174}"/>
            </a:ext>
          </a:extLst>
        </xdr:cNvPr>
        <xdr:cNvGrpSpPr/>
      </xdr:nvGrpSpPr>
      <xdr:grpSpPr>
        <a:xfrm>
          <a:off x="9525" y="9524"/>
          <a:ext cx="12793560" cy="1514476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69FFD6B1-71E9-6402-1814-902509C53E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EEBEC100-D17E-1C45-C5FE-CFDF1E8908A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67C00071-B9C9-05CB-67E0-B7F0D552336E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20618D90-69DB-8B5C-EE10-B680D7A84A0B}"/>
                </a:ext>
              </a:extLst>
            </xdr:cNvPr>
            <xdr:cNvGrpSpPr/>
          </xdr:nvGrpSpPr>
          <xdr:grpSpPr>
            <a:xfrm>
              <a:off x="166794" y="265596"/>
              <a:ext cx="1255946" cy="302185"/>
              <a:chOff x="6118195" y="543222"/>
              <a:chExt cx="5181503" cy="1290474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62AAEEE-4F48-45FC-1ACD-67A80F485178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6A98F237-1823-B19C-5EA7-B89B9DADA08A}"/>
                  </a:ext>
                </a:extLst>
              </xdr:cNvPr>
              <xdr:cNvGrpSpPr/>
            </xdr:nvGrpSpPr>
            <xdr:grpSpPr>
              <a:xfrm>
                <a:off x="6118195" y="543222"/>
                <a:ext cx="5181503" cy="1290474"/>
                <a:chOff x="6118195" y="543222"/>
                <a:chExt cx="5181503" cy="1290474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26533FF1-4C3C-8EC3-61AD-C91F22591C98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3E37C6E4-EC82-BD1B-FEFC-113CBDCB6830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33E56B7E-D2E3-468D-F117-7168D9447BF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5873CC11-5EA1-F26C-124F-AB72E8680873}"/>
                    </a:ext>
                  </a:extLst>
                </xdr:cNvPr>
                <xdr:cNvSpPr/>
              </xdr:nvSpPr>
              <xdr:spPr>
                <a:xfrm>
                  <a:off x="7363208" y="543222"/>
                  <a:ext cx="2200940" cy="1290193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AF962F5A-B776-814B-C19B-67ACF5456928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398F3731-22E1-0128-3524-D9526B1441CC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6DB24E83-87D0-906D-0E87-0A6373501D0A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E67315B0-C489-3148-4585-C9531494F50F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1851B609-A978-D853-B766-A0C39C0D262E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7EF15B41-134A-ED2B-7A94-6F950583D1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8002007" y="509748"/>
            <a:ext cx="883844" cy="514898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2691618</xdr:colOff>
      <xdr:row>2</xdr:row>
      <xdr:rowOff>70126</xdr:rowOff>
    </xdr:from>
    <xdr:to>
      <xdr:col>6</xdr:col>
      <xdr:colOff>754329</xdr:colOff>
      <xdr:row>5</xdr:row>
      <xdr:rowOff>247708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F34AAA68-D25B-4DB3-86CB-722E7CB9A1CE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3349709" y="451126"/>
          <a:ext cx="6323484" cy="7490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4400" b="1">
              <a:solidFill>
                <a:schemeClr val="bg1"/>
              </a:solidFill>
              <a:latin typeface="+mj-lt"/>
              <a:ea typeface="+mj-lt"/>
              <a:cs typeface="+mj-lt"/>
            </a:rPr>
            <a:t>LAJIDA</a:t>
          </a:r>
          <a:endParaRPr lang="en-US" sz="36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140805</xdr:colOff>
      <xdr:row>6</xdr:row>
      <xdr:rowOff>11206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9452CB8C-DC7C-4E06-985A-2F080F1CD27E}"/>
            </a:ext>
          </a:extLst>
        </xdr:cNvPr>
        <xdr:cNvGrpSpPr/>
      </xdr:nvGrpSpPr>
      <xdr:grpSpPr>
        <a:xfrm>
          <a:off x="0" y="1"/>
          <a:ext cx="11818455" cy="1344705"/>
          <a:chOff x="0" y="114300"/>
          <a:chExt cx="9050846" cy="1082842"/>
        </a:xfrm>
      </xdr:grpSpPr>
      <xdr:grpSp>
        <xdr:nvGrpSpPr>
          <xdr:cNvPr id="9" name="Agrupar 8">
            <a:extLst>
              <a:ext uri="{FF2B5EF4-FFF2-40B4-BE49-F238E27FC236}">
                <a16:creationId xmlns:a16="http://schemas.microsoft.com/office/drawing/2014/main" id="{0CB7685B-5040-3D0D-7066-217F976D2961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1" name="Retângulo 10">
              <a:extLst>
                <a:ext uri="{FF2B5EF4-FFF2-40B4-BE49-F238E27FC236}">
                  <a16:creationId xmlns:a16="http://schemas.microsoft.com/office/drawing/2014/main" id="{C50815EA-7BC0-08B0-7FF7-BC71EA77EB5F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2" name="Elements">
              <a:extLst>
                <a:ext uri="{FF2B5EF4-FFF2-40B4-BE49-F238E27FC236}">
                  <a16:creationId xmlns:a16="http://schemas.microsoft.com/office/drawing/2014/main" id="{B2073DC5-C375-B178-F277-C7C610CD6AAD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D692270F-3A3C-36DF-2141-9D5B02B17E7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9" name="Forma Livre: Forma 18">
                <a:extLst>
                  <a:ext uri="{FF2B5EF4-FFF2-40B4-BE49-F238E27FC236}">
                    <a16:creationId xmlns:a16="http://schemas.microsoft.com/office/drawing/2014/main" id="{2CC38E65-2C09-ADC8-4EF0-3FB39FB878A0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0" name="Gráfico 1">
                <a:extLst>
                  <a:ext uri="{FF2B5EF4-FFF2-40B4-BE49-F238E27FC236}">
                    <a16:creationId xmlns:a16="http://schemas.microsoft.com/office/drawing/2014/main" id="{7E72FC03-5716-2672-3CA0-B8132AD841B7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7ECBBDB4-5477-7A68-76D8-EFE6C264F254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F3E04DF5-DAEC-7397-5A8A-89CC108E53E1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BD67646-F508-5821-E069-1769B9BDB060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749B7E21-F0D6-D4CA-CAE9-1E0CF3F00CC5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4" name="Agrupar 13">
              <a:extLst>
                <a:ext uri="{FF2B5EF4-FFF2-40B4-BE49-F238E27FC236}">
                  <a16:creationId xmlns:a16="http://schemas.microsoft.com/office/drawing/2014/main" id="{834ED445-9D6E-A2C1-0D0D-DE3C35DD3EC3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5" name="Gráfico 14">
                <a:extLst>
                  <a:ext uri="{FF2B5EF4-FFF2-40B4-BE49-F238E27FC236}">
                    <a16:creationId xmlns:a16="http://schemas.microsoft.com/office/drawing/2014/main" id="{11C899FB-FB12-5899-2FF8-6D6F283AADD7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6" name="Elipse 15">
                <a:extLst>
                  <a:ext uri="{FF2B5EF4-FFF2-40B4-BE49-F238E27FC236}">
                    <a16:creationId xmlns:a16="http://schemas.microsoft.com/office/drawing/2014/main" id="{DC2505FF-DC35-A1B9-D1EB-63E28CDDA29F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Retângulo: Cantos Arredondados 16">
                <a:extLst>
                  <a:ext uri="{FF2B5EF4-FFF2-40B4-BE49-F238E27FC236}">
                    <a16:creationId xmlns:a16="http://schemas.microsoft.com/office/drawing/2014/main" id="{801D8D39-C2DB-5122-93EE-01FF7D549756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E7A9FFE8-4F3E-C7C2-1D0B-AA3498D81373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0" name="Imagem 9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CBBDBCB5-771D-C88C-827F-1A77211E52D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1466851</xdr:colOff>
      <xdr:row>0</xdr:row>
      <xdr:rowOff>89647</xdr:rowOff>
    </xdr:from>
    <xdr:to>
      <xdr:col>8</xdr:col>
      <xdr:colOff>392207</xdr:colOff>
      <xdr:row>6</xdr:row>
      <xdr:rowOff>5867</xdr:rowOff>
    </xdr:to>
    <xdr:sp macro="" textlink="">
      <xdr:nvSpPr>
        <xdr:cNvPr id="25" name="CaixaDeTexto 24">
          <a:extLst>
            <a:ext uri="{FF2B5EF4-FFF2-40B4-BE49-F238E27FC236}">
              <a16:creationId xmlns:a16="http://schemas.microsoft.com/office/drawing/2014/main" id="{BF4827C4-C5A3-43CC-B53B-B5CD898A4A97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2127998" y="89647"/>
          <a:ext cx="8125385" cy="123851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RESULTADOS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6508</xdr:colOff>
      <xdr:row>0</xdr:row>
      <xdr:rowOff>16013</xdr:rowOff>
    </xdr:from>
    <xdr:to>
      <xdr:col>7</xdr:col>
      <xdr:colOff>192181</xdr:colOff>
      <xdr:row>4</xdr:row>
      <xdr:rowOff>108857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D7847EDE-CF75-420C-8002-69293F92882F}"/>
            </a:ext>
          </a:extLst>
        </xdr:cNvPr>
        <xdr:cNvGrpSpPr/>
      </xdr:nvGrpSpPr>
      <xdr:grpSpPr>
        <a:xfrm>
          <a:off x="6508" y="16013"/>
          <a:ext cx="10527102" cy="1453558"/>
          <a:chOff x="0" y="114300"/>
          <a:chExt cx="9050846" cy="1082842"/>
        </a:xfrm>
      </xdr:grpSpPr>
      <xdr:grpSp>
        <xdr:nvGrpSpPr>
          <xdr:cNvPr id="11" name="Agrupar 10">
            <a:extLst>
              <a:ext uri="{FF2B5EF4-FFF2-40B4-BE49-F238E27FC236}">
                <a16:creationId xmlns:a16="http://schemas.microsoft.com/office/drawing/2014/main" id="{B04AAE37-8DD9-1E2F-7AC6-7551C2D6C7FA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3" name="Retângulo 12">
              <a:extLst>
                <a:ext uri="{FF2B5EF4-FFF2-40B4-BE49-F238E27FC236}">
                  <a16:creationId xmlns:a16="http://schemas.microsoft.com/office/drawing/2014/main" id="{71361487-C6F9-3196-7902-DED94505F1F9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4" name="Elements">
              <a:extLst>
                <a:ext uri="{FF2B5EF4-FFF2-40B4-BE49-F238E27FC236}">
                  <a16:creationId xmlns:a16="http://schemas.microsoft.com/office/drawing/2014/main" id="{F47CF08F-47AD-F217-3EDB-DDE3D266E40F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5" name="Agrupar 14">
              <a:extLst>
                <a:ext uri="{FF2B5EF4-FFF2-40B4-BE49-F238E27FC236}">
                  <a16:creationId xmlns:a16="http://schemas.microsoft.com/office/drawing/2014/main" id="{F0EA802D-3192-C5BA-C71B-94C71574C6BC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21" name="Forma Livre: Forma 20">
                <a:extLst>
                  <a:ext uri="{FF2B5EF4-FFF2-40B4-BE49-F238E27FC236}">
                    <a16:creationId xmlns:a16="http://schemas.microsoft.com/office/drawing/2014/main" id="{B561BC7C-A9C4-B35D-E571-181239A30919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22" name="Gráfico 1">
                <a:extLst>
                  <a:ext uri="{FF2B5EF4-FFF2-40B4-BE49-F238E27FC236}">
                    <a16:creationId xmlns:a16="http://schemas.microsoft.com/office/drawing/2014/main" id="{E1445D16-DB08-AF8D-099C-8D250CEC8A8A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D8713D9B-1383-C10F-609A-6A57D76D04C5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4" name="Forma Livre: Forma 23">
                  <a:extLst>
                    <a:ext uri="{FF2B5EF4-FFF2-40B4-BE49-F238E27FC236}">
                      <a16:creationId xmlns:a16="http://schemas.microsoft.com/office/drawing/2014/main" id="{1B9595ED-6CCD-72BF-B575-95CD70C617C5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5" name="Forma Livre: Forma 24">
                  <a:extLst>
                    <a:ext uri="{FF2B5EF4-FFF2-40B4-BE49-F238E27FC236}">
                      <a16:creationId xmlns:a16="http://schemas.microsoft.com/office/drawing/2014/main" id="{1545C14F-3E76-A726-1833-D222DA505B37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6" name="Forma Livre: Forma 25">
                  <a:extLst>
                    <a:ext uri="{FF2B5EF4-FFF2-40B4-BE49-F238E27FC236}">
                      <a16:creationId xmlns:a16="http://schemas.microsoft.com/office/drawing/2014/main" id="{9D116BC0-D3A4-558D-58F0-BE9F6FD68ADD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6" name="Agrupar 15">
              <a:extLst>
                <a:ext uri="{FF2B5EF4-FFF2-40B4-BE49-F238E27FC236}">
                  <a16:creationId xmlns:a16="http://schemas.microsoft.com/office/drawing/2014/main" id="{4EBB256E-0D8B-9AD2-AF1D-1626168EC7CC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7" name="Gráfico 16">
                <a:extLst>
                  <a:ext uri="{FF2B5EF4-FFF2-40B4-BE49-F238E27FC236}">
                    <a16:creationId xmlns:a16="http://schemas.microsoft.com/office/drawing/2014/main" id="{F600C1B9-F11B-E729-3B85-1278B01CD10A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8" name="Elipse 17">
                <a:extLst>
                  <a:ext uri="{FF2B5EF4-FFF2-40B4-BE49-F238E27FC236}">
                    <a16:creationId xmlns:a16="http://schemas.microsoft.com/office/drawing/2014/main" id="{9E05EB09-12B3-D7EC-04F9-FD3731838AE2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9" name="Retângulo: Cantos Arredondados 18">
                <a:extLst>
                  <a:ext uri="{FF2B5EF4-FFF2-40B4-BE49-F238E27FC236}">
                    <a16:creationId xmlns:a16="http://schemas.microsoft.com/office/drawing/2014/main" id="{A092636D-E3D9-497B-D3BB-F24ABE5F2024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20" name="Elipse 19">
                <a:extLst>
                  <a:ext uri="{FF2B5EF4-FFF2-40B4-BE49-F238E27FC236}">
                    <a16:creationId xmlns:a16="http://schemas.microsoft.com/office/drawing/2014/main" id="{296A40DC-0833-40ED-AE8C-0ABB5C8C9B31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12" name="Imagem 11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0988B590-F58A-F8FB-0110-1D00B53FCDD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1774116</xdr:colOff>
      <xdr:row>1</xdr:row>
      <xdr:rowOff>25106</xdr:rowOff>
    </xdr:from>
    <xdr:to>
      <xdr:col>5</xdr:col>
      <xdr:colOff>690201</xdr:colOff>
      <xdr:row>3</xdr:row>
      <xdr:rowOff>164085</xdr:rowOff>
    </xdr:to>
    <xdr:sp macro="" textlink="">
      <xdr:nvSpPr>
        <xdr:cNvPr id="27" name="CaixaDeTexto 26">
          <a:extLst>
            <a:ext uri="{FF2B5EF4-FFF2-40B4-BE49-F238E27FC236}">
              <a16:creationId xmlns:a16="http://schemas.microsoft.com/office/drawing/2014/main" id="{4829E455-6B70-4837-8D9D-14BE918CBDD4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998234" y="372488"/>
          <a:ext cx="7555820" cy="83374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en-US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DEMONSTRAÇÕES DOS FLUXOS DE CAIXA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11195</xdr:colOff>
      <xdr:row>0</xdr:row>
      <xdr:rowOff>11202</xdr:rowOff>
    </xdr:from>
    <xdr:to>
      <xdr:col>6</xdr:col>
      <xdr:colOff>134472</xdr:colOff>
      <xdr:row>5</xdr:row>
      <xdr:rowOff>114300</xdr:rowOff>
    </xdr:to>
    <xdr:grpSp>
      <xdr:nvGrpSpPr>
        <xdr:cNvPr id="7" name="Agrupar 6">
          <a:extLst>
            <a:ext uri="{FF2B5EF4-FFF2-40B4-BE49-F238E27FC236}">
              <a16:creationId xmlns:a16="http://schemas.microsoft.com/office/drawing/2014/main" id="{40873B4A-28BC-4565-AF8A-C233A6A8B7FC}"/>
            </a:ext>
          </a:extLst>
        </xdr:cNvPr>
        <xdr:cNvGrpSpPr/>
      </xdr:nvGrpSpPr>
      <xdr:grpSpPr>
        <a:xfrm>
          <a:off x="11195" y="11202"/>
          <a:ext cx="8213924" cy="1055598"/>
          <a:chOff x="0" y="114300"/>
          <a:chExt cx="9050846" cy="1082842"/>
        </a:xfrm>
      </xdr:grpSpPr>
      <xdr:grpSp>
        <xdr:nvGrpSpPr>
          <xdr:cNvPr id="8" name="Agrupar 7">
            <a:extLst>
              <a:ext uri="{FF2B5EF4-FFF2-40B4-BE49-F238E27FC236}">
                <a16:creationId xmlns:a16="http://schemas.microsoft.com/office/drawing/2014/main" id="{216DC1C5-C33A-5D2A-D5A2-4815ADFCD3C6}"/>
              </a:ext>
            </a:extLst>
          </xdr:cNvPr>
          <xdr:cNvGrpSpPr/>
        </xdr:nvGrpSpPr>
        <xdr:grpSpPr>
          <a:xfrm>
            <a:off x="0" y="114300"/>
            <a:ext cx="9050846" cy="1082842"/>
            <a:chOff x="0" y="114300"/>
            <a:chExt cx="9078920" cy="1082842"/>
          </a:xfrm>
        </xdr:grpSpPr>
        <xdr:sp macro="" textlink="">
          <xdr:nvSpPr>
            <xdr:cNvPr id="10" name="Retângulo 9">
              <a:extLst>
                <a:ext uri="{FF2B5EF4-FFF2-40B4-BE49-F238E27FC236}">
                  <a16:creationId xmlns:a16="http://schemas.microsoft.com/office/drawing/2014/main" id="{068D3DC8-C938-E6A9-A9E5-EA5E4EA3145C}"/>
                </a:ext>
              </a:extLst>
            </xdr:cNvPr>
            <xdr:cNvSpPr/>
          </xdr:nvSpPr>
          <xdr:spPr>
            <a:xfrm>
              <a:off x="0" y="114300"/>
              <a:ext cx="9071516" cy="1082842"/>
            </a:xfrm>
            <a:prstGeom prst="rect">
              <a:avLst/>
            </a:prstGeom>
            <a:gradFill flip="none" rotWithShape="1">
              <a:gsLst>
                <a:gs pos="14536">
                  <a:srgbClr val="B8E53E"/>
                </a:gs>
                <a:gs pos="1000">
                  <a:srgbClr val="D7F83C"/>
                </a:gs>
                <a:gs pos="95000">
                  <a:srgbClr val="00744D"/>
                </a:gs>
              </a:gsLst>
              <a:lin ang="16200000" scaled="1"/>
              <a:tileRect/>
            </a:gra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 rtlCol="0" anchor="ctr"/>
            <a:lstStyle>
              <a:defPPr>
                <a:defRPr lang="pt-BR"/>
              </a:defPPr>
              <a:lvl1pPr marL="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800" kern="1200">
                  <a:solidFill>
                    <a:schemeClr val="lt1"/>
                  </a:solidFill>
                  <a:latin typeface="+mn-lt"/>
                  <a:ea typeface="+mn-ea"/>
                  <a:cs typeface="+mn-cs"/>
                </a:defRPr>
              </a:lvl9pPr>
            </a:lstStyle>
            <a:p>
              <a:pPr algn="ctr"/>
              <a:endParaRPr lang="pt-BR"/>
            </a:p>
          </xdr:txBody>
        </xdr:sp>
        <xdr:pic>
          <xdr:nvPicPr>
            <xdr:cNvPr id="11" name="Elements">
              <a:extLst>
                <a:ext uri="{FF2B5EF4-FFF2-40B4-BE49-F238E27FC236}">
                  <a16:creationId xmlns:a16="http://schemas.microsoft.com/office/drawing/2014/main" id="{66CFB169-54A7-FD05-E0CC-4B7A1D222EF0}"/>
                </a:ext>
              </a:extLst>
            </xdr:cNvPr>
            <xdr:cNvPicPr>
              <a:picLocks/>
            </xdr:cNvPicPr>
          </xdr:nvPicPr>
          <xdr:blipFill rotWithShape="1">
            <a:blip xmlns:r="http://schemas.openxmlformats.org/officeDocument/2006/relationships" r:embed="rId1" cstate="email">
              <a:alphaModFix amt="31000"/>
              <a:extLst>
                <a:ext uri="{28A0092B-C50C-407E-A947-70E740481C1C}">
                  <a14:useLocalDpi xmlns:a14="http://schemas.microsoft.com/office/drawing/2010/main"/>
                </a:ext>
              </a:extLst>
            </a:blip>
            <a:srcRect l="583" t="47588" r="15070" b="9748"/>
            <a:stretch/>
          </xdr:blipFill>
          <xdr:spPr>
            <a:xfrm>
              <a:off x="2426370" y="165099"/>
              <a:ext cx="6652550" cy="930442"/>
            </a:xfrm>
            <a:prstGeom prst="rect">
              <a:avLst/>
            </a:prstGeom>
          </xdr:spPr>
        </xdr:pic>
        <xdr:grpSp>
          <xdr:nvGrpSpPr>
            <xdr:cNvPr id="12" name="Agrupar 11">
              <a:extLst>
                <a:ext uri="{FF2B5EF4-FFF2-40B4-BE49-F238E27FC236}">
                  <a16:creationId xmlns:a16="http://schemas.microsoft.com/office/drawing/2014/main" id="{A9037C51-0283-443F-F1CE-0B7F5FEE8F41}"/>
                </a:ext>
              </a:extLst>
            </xdr:cNvPr>
            <xdr:cNvGrpSpPr/>
          </xdr:nvGrpSpPr>
          <xdr:grpSpPr>
            <a:xfrm>
              <a:off x="166794" y="265596"/>
              <a:ext cx="1255946" cy="302186"/>
              <a:chOff x="6118195" y="543218"/>
              <a:chExt cx="5181503" cy="1290478"/>
            </a:xfrm>
          </xdr:grpSpPr>
          <xdr:sp macro="" textlink="">
            <xdr:nvSpPr>
              <xdr:cNvPr id="18" name="Forma Livre: Forma 17">
                <a:extLst>
                  <a:ext uri="{FF2B5EF4-FFF2-40B4-BE49-F238E27FC236}">
                    <a16:creationId xmlns:a16="http://schemas.microsoft.com/office/drawing/2014/main" id="{2E906D5C-851E-8FB5-C21C-AE48B10C25BC}"/>
                  </a:ext>
                </a:extLst>
              </xdr:cNvPr>
              <xdr:cNvSpPr/>
            </xdr:nvSpPr>
            <xdr:spPr>
              <a:xfrm>
                <a:off x="7513226" y="1037121"/>
                <a:ext cx="513968" cy="303752"/>
              </a:xfrm>
              <a:custGeom>
                <a:avLst/>
                <a:gdLst>
                  <a:gd name="connsiteX0" fmla="*/ 153257 w 513968"/>
                  <a:gd name="connsiteY0" fmla="*/ 95 h 303752"/>
                  <a:gd name="connsiteX1" fmla="*/ 0 w 513968"/>
                  <a:gd name="connsiteY1" fmla="*/ 151829 h 303752"/>
                  <a:gd name="connsiteX2" fmla="*/ 152971 w 513968"/>
                  <a:gd name="connsiteY2" fmla="*/ 303752 h 303752"/>
                  <a:gd name="connsiteX3" fmla="*/ 360807 w 513968"/>
                  <a:gd name="connsiteY3" fmla="*/ 303467 h 303752"/>
                  <a:gd name="connsiteX4" fmla="*/ 513969 w 513968"/>
                  <a:gd name="connsiteY4" fmla="*/ 151733 h 303752"/>
                  <a:gd name="connsiteX5" fmla="*/ 360902 w 513968"/>
                  <a:gd name="connsiteY5" fmla="*/ 0 h 303752"/>
                  <a:gd name="connsiteX6" fmla="*/ 153162 w 513968"/>
                  <a:gd name="connsiteY6" fmla="*/ 0 h 303752"/>
                </a:gdLst>
                <a:ahLst/>
                <a:cxnLst>
                  <a:cxn ang="0">
                    <a:pos x="connsiteX0" y="connsiteY0"/>
                  </a:cxn>
                  <a:cxn ang="0">
                    <a:pos x="connsiteX1" y="connsiteY1"/>
                  </a:cxn>
                  <a:cxn ang="0">
                    <a:pos x="connsiteX2" y="connsiteY2"/>
                  </a:cxn>
                  <a:cxn ang="0">
                    <a:pos x="connsiteX3" y="connsiteY3"/>
                  </a:cxn>
                  <a:cxn ang="0">
                    <a:pos x="connsiteX4" y="connsiteY4"/>
                  </a:cxn>
                  <a:cxn ang="0">
                    <a:pos x="connsiteX5" y="connsiteY5"/>
                  </a:cxn>
                  <a:cxn ang="0">
                    <a:pos x="connsiteX6" y="connsiteY6"/>
                  </a:cxn>
                </a:cxnLst>
                <a:rect l="l" t="t" r="r" b="b"/>
                <a:pathLst>
                  <a:path w="513968" h="303752">
                    <a:moveTo>
                      <a:pt x="153257" y="95"/>
                    </a:moveTo>
                    <a:cubicBezTo>
                      <a:pt x="68580" y="95"/>
                      <a:pt x="0" y="68104"/>
                      <a:pt x="0" y="151829"/>
                    </a:cubicBezTo>
                    <a:cubicBezTo>
                      <a:pt x="0" y="235553"/>
                      <a:pt x="68294" y="303752"/>
                      <a:pt x="152971" y="303752"/>
                    </a:cubicBezTo>
                    <a:lnTo>
                      <a:pt x="360807" y="303467"/>
                    </a:lnTo>
                    <a:cubicBezTo>
                      <a:pt x="445484" y="303467"/>
                      <a:pt x="513969" y="235458"/>
                      <a:pt x="513969" y="151733"/>
                    </a:cubicBezTo>
                    <a:cubicBezTo>
                      <a:pt x="513969" y="68009"/>
                      <a:pt x="445484" y="0"/>
                      <a:pt x="360902" y="0"/>
                    </a:cubicBezTo>
                    <a:lnTo>
                      <a:pt x="153162" y="0"/>
                    </a:lnTo>
                    <a:close/>
                  </a:path>
                </a:pathLst>
              </a:custGeom>
              <a:gradFill>
                <a:gsLst>
                  <a:gs pos="10000">
                    <a:srgbClr val="FFFF00"/>
                  </a:gs>
                  <a:gs pos="90000">
                    <a:srgbClr val="46D232"/>
                  </a:gs>
                </a:gsLst>
                <a:lin ang="0" scaled="1"/>
              </a:gradFill>
              <a:ln w="9525" cap="flat">
                <a:noFill/>
                <a:prstDash val="solid"/>
                <a:miter/>
              </a:ln>
            </xdr:spPr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endParaRPr lang="pt-BR"/>
              </a:p>
            </xdr:txBody>
          </xdr:sp>
          <xdr:grpSp>
            <xdr:nvGrpSpPr>
              <xdr:cNvPr id="19" name="Gráfico 1">
                <a:extLst>
                  <a:ext uri="{FF2B5EF4-FFF2-40B4-BE49-F238E27FC236}">
                    <a16:creationId xmlns:a16="http://schemas.microsoft.com/office/drawing/2014/main" id="{065FE809-26A1-8E6F-975E-9AA97A892471}"/>
                  </a:ext>
                </a:extLst>
              </xdr:cNvPr>
              <xdr:cNvGrpSpPr/>
            </xdr:nvGrpSpPr>
            <xdr:grpSpPr>
              <a:xfrm>
                <a:off x="6118195" y="543218"/>
                <a:ext cx="5181503" cy="1290478"/>
                <a:chOff x="6118195" y="543218"/>
                <a:chExt cx="5181503" cy="1290478"/>
              </a:xfrm>
              <a:solidFill>
                <a:schemeClr val="accent1"/>
              </a:solidFill>
            </xdr:grpSpPr>
            <xdr:sp macro="" textlink="">
              <xdr:nvSpPr>
                <xdr:cNvPr id="20" name="Forma Livre: Forma 19">
                  <a:extLst>
                    <a:ext uri="{FF2B5EF4-FFF2-40B4-BE49-F238E27FC236}">
                      <a16:creationId xmlns:a16="http://schemas.microsoft.com/office/drawing/2014/main" id="{77DCDC6B-EFF6-4BA5-E955-A1D047A56C03}"/>
                    </a:ext>
                  </a:extLst>
                </xdr:cNvPr>
                <xdr:cNvSpPr/>
              </xdr:nvSpPr>
              <xdr:spPr>
                <a:xfrm>
                  <a:off x="9627871" y="543726"/>
                  <a:ext cx="306228" cy="1289399"/>
                </a:xfrm>
                <a:custGeom>
                  <a:avLst/>
                  <a:gdLst>
                    <a:gd name="connsiteX0" fmla="*/ 306038 w 306228"/>
                    <a:gd name="connsiteY0" fmla="*/ 1138142 h 1289399"/>
                    <a:gd name="connsiteX1" fmla="*/ 152971 w 306228"/>
                    <a:gd name="connsiteY1" fmla="*/ 1289399 h 1289399"/>
                    <a:gd name="connsiteX2" fmla="*/ 0 w 306228"/>
                    <a:gd name="connsiteY2" fmla="*/ 1138142 h 1289399"/>
                    <a:gd name="connsiteX3" fmla="*/ 0 w 306228"/>
                    <a:gd name="connsiteY3" fmla="*/ 151733 h 1289399"/>
                    <a:gd name="connsiteX4" fmla="*/ 152971 w 306228"/>
                    <a:gd name="connsiteY4" fmla="*/ 0 h 1289399"/>
                    <a:gd name="connsiteX5" fmla="*/ 306038 w 306228"/>
                    <a:gd name="connsiteY5" fmla="*/ 151257 h 1289399"/>
                    <a:gd name="connsiteX6" fmla="*/ 306229 w 306228"/>
                    <a:gd name="connsiteY6" fmla="*/ 1138142 h 1289399"/>
                    <a:gd name="connsiteX7" fmla="*/ 306038 w 306228"/>
                    <a:gd name="connsiteY7" fmla="*/ 1138142 h 1289399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</a:cxnLst>
                  <a:rect l="l" t="t" r="r" b="b"/>
                  <a:pathLst>
                    <a:path w="306228" h="1289399">
                      <a:moveTo>
                        <a:pt x="306038" y="1138142"/>
                      </a:moveTo>
                      <a:cubicBezTo>
                        <a:pt x="305848" y="1221867"/>
                        <a:pt x="237554" y="1289399"/>
                        <a:pt x="152971" y="1289399"/>
                      </a:cubicBezTo>
                      <a:cubicBezTo>
                        <a:pt x="68389" y="1289399"/>
                        <a:pt x="190" y="1221867"/>
                        <a:pt x="0" y="1138142"/>
                      </a:cubicBezTo>
                      <a:lnTo>
                        <a:pt x="0" y="151733"/>
                      </a:lnTo>
                      <a:cubicBezTo>
                        <a:pt x="286" y="67723"/>
                        <a:pt x="68485" y="0"/>
                        <a:pt x="152971" y="0"/>
                      </a:cubicBezTo>
                      <a:cubicBezTo>
                        <a:pt x="237458" y="0"/>
                        <a:pt x="305848" y="67723"/>
                        <a:pt x="306038" y="151257"/>
                      </a:cubicBezTo>
                      <a:lnTo>
                        <a:pt x="306229" y="1138142"/>
                      </a:lnTo>
                      <a:lnTo>
                        <a:pt x="306038" y="1138142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1" name="Forma Livre: Forma 20">
                  <a:extLst>
                    <a:ext uri="{FF2B5EF4-FFF2-40B4-BE49-F238E27FC236}">
                      <a16:creationId xmlns:a16="http://schemas.microsoft.com/office/drawing/2014/main" id="{184B01D3-845E-1522-7175-649F80D7CEDA}"/>
                    </a:ext>
                  </a:extLst>
                </xdr:cNvPr>
                <xdr:cNvSpPr/>
              </xdr:nvSpPr>
              <xdr:spPr>
                <a:xfrm>
                  <a:off x="9998203" y="543250"/>
                  <a:ext cx="1301495" cy="1290446"/>
                </a:xfrm>
                <a:custGeom>
                  <a:avLst/>
                  <a:gdLst>
                    <a:gd name="connsiteX0" fmla="*/ 974122 w 1301495"/>
                    <a:gd name="connsiteY0" fmla="*/ 85344 h 1290446"/>
                    <a:gd name="connsiteX1" fmla="*/ 1052418 w 1301495"/>
                    <a:gd name="connsiteY1" fmla="*/ 217932 h 1290446"/>
                    <a:gd name="connsiteX2" fmla="*/ 899446 w 1301495"/>
                    <a:gd name="connsiteY2" fmla="*/ 369761 h 1290446"/>
                    <a:gd name="connsiteX3" fmla="*/ 818674 w 1301495"/>
                    <a:gd name="connsiteY3" fmla="*/ 346996 h 1290446"/>
                    <a:gd name="connsiteX4" fmla="*/ 650367 w 1301495"/>
                    <a:gd name="connsiteY4" fmla="*/ 303752 h 1290446"/>
                    <a:gd name="connsiteX5" fmla="*/ 305848 w 1301495"/>
                    <a:gd name="connsiteY5" fmla="*/ 645224 h 1290446"/>
                    <a:gd name="connsiteX6" fmla="*/ 650367 w 1301495"/>
                    <a:gd name="connsiteY6" fmla="*/ 986981 h 1290446"/>
                    <a:gd name="connsiteX7" fmla="*/ 958977 w 1301495"/>
                    <a:gd name="connsiteY7" fmla="*/ 797243 h 1290446"/>
                    <a:gd name="connsiteX8" fmla="*/ 650748 w 1301495"/>
                    <a:gd name="connsiteY8" fmla="*/ 797243 h 1290446"/>
                    <a:gd name="connsiteX9" fmla="*/ 497586 w 1301495"/>
                    <a:gd name="connsiteY9" fmla="*/ 645319 h 1290446"/>
                    <a:gd name="connsiteX10" fmla="*/ 650748 w 1301495"/>
                    <a:gd name="connsiteY10" fmla="*/ 493681 h 1290446"/>
                    <a:gd name="connsiteX11" fmla="*/ 1148239 w 1301495"/>
                    <a:gd name="connsiteY11" fmla="*/ 493395 h 1290446"/>
                    <a:gd name="connsiteX12" fmla="*/ 1301496 w 1301495"/>
                    <a:gd name="connsiteY12" fmla="*/ 645224 h 1290446"/>
                    <a:gd name="connsiteX13" fmla="*/ 650653 w 1301495"/>
                    <a:gd name="connsiteY13" fmla="*/ 1290447 h 1290446"/>
                    <a:gd name="connsiteX14" fmla="*/ 0 w 1301495"/>
                    <a:gd name="connsiteY14" fmla="*/ 645224 h 1290446"/>
                    <a:gd name="connsiteX15" fmla="*/ 650748 w 1301495"/>
                    <a:gd name="connsiteY15" fmla="*/ 0 h 1290446"/>
                    <a:gd name="connsiteX16" fmla="*/ 974217 w 1301495"/>
                    <a:gd name="connsiteY16" fmla="*/ 85153 h 1290446"/>
                    <a:gd name="connsiteX17" fmla="*/ 974026 w 1301495"/>
                    <a:gd name="connsiteY17" fmla="*/ 85344 h 129044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</a:cxnLst>
                  <a:rect l="l" t="t" r="r" b="b"/>
                  <a:pathLst>
                    <a:path w="1301495" h="1290446">
                      <a:moveTo>
                        <a:pt x="974122" y="85344"/>
                      </a:moveTo>
                      <a:cubicBezTo>
                        <a:pt x="1020794" y="111347"/>
                        <a:pt x="1052418" y="160877"/>
                        <a:pt x="1052418" y="217932"/>
                      </a:cubicBezTo>
                      <a:cubicBezTo>
                        <a:pt x="1052418" y="301752"/>
                        <a:pt x="983932" y="369761"/>
                        <a:pt x="899446" y="369761"/>
                      </a:cubicBezTo>
                      <a:cubicBezTo>
                        <a:pt x="869823" y="369761"/>
                        <a:pt x="842105" y="361474"/>
                        <a:pt x="818674" y="346996"/>
                      </a:cubicBezTo>
                      <a:cubicBezTo>
                        <a:pt x="768667" y="319278"/>
                        <a:pt x="711422" y="303752"/>
                        <a:pt x="650367" y="303752"/>
                      </a:cubicBezTo>
                      <a:cubicBezTo>
                        <a:pt x="459962" y="303752"/>
                        <a:pt x="305848" y="456533"/>
                        <a:pt x="305848" y="645224"/>
                      </a:cubicBezTo>
                      <a:cubicBezTo>
                        <a:pt x="305848" y="833914"/>
                        <a:pt x="459962" y="986981"/>
                        <a:pt x="650367" y="986981"/>
                      </a:cubicBezTo>
                      <a:cubicBezTo>
                        <a:pt x="785622" y="986981"/>
                        <a:pt x="902684" y="909733"/>
                        <a:pt x="958977" y="797243"/>
                      </a:cubicBezTo>
                      <a:lnTo>
                        <a:pt x="650748" y="797243"/>
                      </a:lnTo>
                      <a:cubicBezTo>
                        <a:pt x="566356" y="797243"/>
                        <a:pt x="497586" y="729329"/>
                        <a:pt x="497586" y="645319"/>
                      </a:cubicBezTo>
                      <a:cubicBezTo>
                        <a:pt x="497586" y="561308"/>
                        <a:pt x="566356" y="493681"/>
                        <a:pt x="650748" y="493681"/>
                      </a:cubicBezTo>
                      <a:cubicBezTo>
                        <a:pt x="982408" y="493681"/>
                        <a:pt x="1148239" y="493586"/>
                        <a:pt x="1148239" y="493395"/>
                      </a:cubicBezTo>
                      <a:cubicBezTo>
                        <a:pt x="1233011" y="493681"/>
                        <a:pt x="1301496" y="561499"/>
                        <a:pt x="1301496" y="645224"/>
                      </a:cubicBezTo>
                      <a:cubicBezTo>
                        <a:pt x="1301496" y="1001649"/>
                        <a:pt x="1010126" y="1290447"/>
                        <a:pt x="650653" y="1290447"/>
                      </a:cubicBezTo>
                      <a:cubicBezTo>
                        <a:pt x="291179" y="1290447"/>
                        <a:pt x="0" y="1001649"/>
                        <a:pt x="0" y="645224"/>
                      </a:cubicBezTo>
                      <a:cubicBezTo>
                        <a:pt x="0" y="288798"/>
                        <a:pt x="291465" y="0"/>
                        <a:pt x="650748" y="0"/>
                      </a:cubicBezTo>
                      <a:cubicBezTo>
                        <a:pt x="768382" y="0"/>
                        <a:pt x="878681" y="30956"/>
                        <a:pt x="974217" y="85153"/>
                      </a:cubicBezTo>
                      <a:lnTo>
                        <a:pt x="974026" y="85344"/>
                      </a:lnTo>
                      <a:close/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2" name="Forma Livre: Forma 21">
                  <a:extLst>
                    <a:ext uri="{FF2B5EF4-FFF2-40B4-BE49-F238E27FC236}">
                      <a16:creationId xmlns:a16="http://schemas.microsoft.com/office/drawing/2014/main" id="{8D04A109-10DC-9D6B-4371-5CFEA98D490E}"/>
                    </a:ext>
                  </a:extLst>
                </xdr:cNvPr>
                <xdr:cNvSpPr/>
              </xdr:nvSpPr>
              <xdr:spPr>
                <a:xfrm>
                  <a:off x="6118195" y="543345"/>
                  <a:ext cx="2060543" cy="1290066"/>
                </a:xfrm>
                <a:custGeom>
                  <a:avLst/>
                  <a:gdLst>
                    <a:gd name="connsiteX0" fmla="*/ 993362 w 2060543"/>
                    <a:gd name="connsiteY0" fmla="*/ 96774 h 1290066"/>
                    <a:gd name="connsiteX1" fmla="*/ 1067372 w 2060543"/>
                    <a:gd name="connsiteY1" fmla="*/ 227457 h 1290066"/>
                    <a:gd name="connsiteX2" fmla="*/ 914210 w 2060543"/>
                    <a:gd name="connsiteY2" fmla="*/ 379381 h 1290066"/>
                    <a:gd name="connsiteX3" fmla="*/ 831628 w 2060543"/>
                    <a:gd name="connsiteY3" fmla="*/ 354330 h 1290066"/>
                    <a:gd name="connsiteX4" fmla="*/ 650748 w 2060543"/>
                    <a:gd name="connsiteY4" fmla="*/ 303657 h 1290066"/>
                    <a:gd name="connsiteX5" fmla="*/ 306229 w 2060543"/>
                    <a:gd name="connsiteY5" fmla="*/ 645128 h 1290066"/>
                    <a:gd name="connsiteX6" fmla="*/ 650748 w 2060543"/>
                    <a:gd name="connsiteY6" fmla="*/ 986885 h 1290066"/>
                    <a:gd name="connsiteX7" fmla="*/ 980408 w 2060543"/>
                    <a:gd name="connsiteY7" fmla="*/ 745141 h 1290066"/>
                    <a:gd name="connsiteX8" fmla="*/ 1173766 w 2060543"/>
                    <a:gd name="connsiteY8" fmla="*/ 118205 h 1290066"/>
                    <a:gd name="connsiteX9" fmla="*/ 1320165 w 2060543"/>
                    <a:gd name="connsiteY9" fmla="*/ 12573 h 1290066"/>
                    <a:gd name="connsiteX10" fmla="*/ 1907477 w 2060543"/>
                    <a:gd name="connsiteY10" fmla="*/ 12573 h 1290066"/>
                    <a:gd name="connsiteX11" fmla="*/ 2060543 w 2060543"/>
                    <a:gd name="connsiteY11" fmla="*/ 164402 h 1290066"/>
                    <a:gd name="connsiteX12" fmla="*/ 1907477 w 2060543"/>
                    <a:gd name="connsiteY12" fmla="*/ 316135 h 1290066"/>
                    <a:gd name="connsiteX13" fmla="*/ 1479995 w 2060543"/>
                    <a:gd name="connsiteY13" fmla="*/ 316135 h 1290066"/>
                    <a:gd name="connsiteX14" fmla="*/ 1419511 w 2060543"/>
                    <a:gd name="connsiteY14" fmla="*/ 358902 h 1290066"/>
                    <a:gd name="connsiteX15" fmla="*/ 1273683 w 2060543"/>
                    <a:gd name="connsiteY15" fmla="*/ 831723 h 1290066"/>
                    <a:gd name="connsiteX16" fmla="*/ 650748 w 2060543"/>
                    <a:gd name="connsiteY16" fmla="*/ 1290066 h 1290066"/>
                    <a:gd name="connsiteX17" fmla="*/ 0 w 2060543"/>
                    <a:gd name="connsiteY17" fmla="*/ 645033 h 1290066"/>
                    <a:gd name="connsiteX18" fmla="*/ 650653 w 2060543"/>
                    <a:gd name="connsiteY18" fmla="*/ 0 h 1290066"/>
                    <a:gd name="connsiteX19" fmla="*/ 993362 w 2060543"/>
                    <a:gd name="connsiteY19" fmla="*/ 96679 h 1290066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</a:cxnLst>
                  <a:rect l="l" t="t" r="r" b="b"/>
                  <a:pathLst>
                    <a:path w="2060543" h="1290066">
                      <a:moveTo>
                        <a:pt x="993362" y="96774"/>
                      </a:moveTo>
                      <a:cubicBezTo>
                        <a:pt x="1038511" y="123158"/>
                        <a:pt x="1067372" y="171926"/>
                        <a:pt x="1067372" y="227457"/>
                      </a:cubicBezTo>
                      <a:cubicBezTo>
                        <a:pt x="1067372" y="311468"/>
                        <a:pt x="998696" y="379381"/>
                        <a:pt x="914210" y="379381"/>
                      </a:cubicBezTo>
                      <a:cubicBezTo>
                        <a:pt x="883730" y="379381"/>
                        <a:pt x="855726" y="369665"/>
                        <a:pt x="831628" y="354330"/>
                      </a:cubicBezTo>
                      <a:cubicBezTo>
                        <a:pt x="778764" y="322231"/>
                        <a:pt x="717042" y="303657"/>
                        <a:pt x="650748" y="303657"/>
                      </a:cubicBezTo>
                      <a:cubicBezTo>
                        <a:pt x="460343" y="303657"/>
                        <a:pt x="306229" y="456533"/>
                        <a:pt x="306229" y="645128"/>
                      </a:cubicBezTo>
                      <a:cubicBezTo>
                        <a:pt x="306229" y="833723"/>
                        <a:pt x="460343" y="986885"/>
                        <a:pt x="650748" y="986885"/>
                      </a:cubicBezTo>
                      <a:cubicBezTo>
                        <a:pt x="806863" y="986885"/>
                        <a:pt x="937832" y="886111"/>
                        <a:pt x="980408" y="745141"/>
                      </a:cubicBezTo>
                      <a:lnTo>
                        <a:pt x="1173766" y="118205"/>
                      </a:lnTo>
                      <a:cubicBezTo>
                        <a:pt x="1193387" y="56959"/>
                        <a:pt x="1252157" y="12573"/>
                        <a:pt x="1320165" y="12573"/>
                      </a:cubicBezTo>
                      <a:lnTo>
                        <a:pt x="1907477" y="12573"/>
                      </a:lnTo>
                      <a:cubicBezTo>
                        <a:pt x="1991868" y="12573"/>
                        <a:pt x="2060543" y="80486"/>
                        <a:pt x="2060543" y="164402"/>
                      </a:cubicBezTo>
                      <a:cubicBezTo>
                        <a:pt x="2060543" y="248317"/>
                        <a:pt x="1991963" y="316135"/>
                        <a:pt x="1907477" y="316135"/>
                      </a:cubicBezTo>
                      <a:lnTo>
                        <a:pt x="1479995" y="316135"/>
                      </a:lnTo>
                      <a:cubicBezTo>
                        <a:pt x="1452086" y="316135"/>
                        <a:pt x="1427988" y="334137"/>
                        <a:pt x="1419511" y="358902"/>
                      </a:cubicBezTo>
                      <a:lnTo>
                        <a:pt x="1273683" y="831723"/>
                      </a:lnTo>
                      <a:cubicBezTo>
                        <a:pt x="1193006" y="1096994"/>
                        <a:pt x="944499" y="1290066"/>
                        <a:pt x="650748" y="1290066"/>
                      </a:cubicBezTo>
                      <a:cubicBezTo>
                        <a:pt x="291179" y="1290257"/>
                        <a:pt x="0" y="1001459"/>
                        <a:pt x="0" y="645033"/>
                      </a:cubicBezTo>
                      <a:cubicBezTo>
                        <a:pt x="0" y="288608"/>
                        <a:pt x="291179" y="0"/>
                        <a:pt x="650653" y="0"/>
                      </a:cubicBezTo>
                      <a:cubicBezTo>
                        <a:pt x="776383" y="0"/>
                        <a:pt x="893636" y="35243"/>
                        <a:pt x="993362" y="96679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  <xdr:sp macro="" textlink="">
              <xdr:nvSpPr>
                <xdr:cNvPr id="23" name="Forma Livre: Forma 22">
                  <a:extLst>
                    <a:ext uri="{FF2B5EF4-FFF2-40B4-BE49-F238E27FC236}">
                      <a16:creationId xmlns:a16="http://schemas.microsoft.com/office/drawing/2014/main" id="{471B8F7E-0B41-AD48-DF0F-2830A826CD51}"/>
                    </a:ext>
                  </a:extLst>
                </xdr:cNvPr>
                <xdr:cNvSpPr/>
              </xdr:nvSpPr>
              <xdr:spPr>
                <a:xfrm>
                  <a:off x="7363207" y="543218"/>
                  <a:ext cx="2200941" cy="1290192"/>
                </a:xfrm>
                <a:custGeom>
                  <a:avLst/>
                  <a:gdLst>
                    <a:gd name="connsiteX0" fmla="*/ 640175 w 2200941"/>
                    <a:gd name="connsiteY0" fmla="*/ 929576 h 1290192"/>
                    <a:gd name="connsiteX1" fmla="*/ 640366 w 2200941"/>
                    <a:gd name="connsiteY1" fmla="*/ 929005 h 1290192"/>
                    <a:gd name="connsiteX2" fmla="*/ 892683 w 2200941"/>
                    <a:gd name="connsiteY2" fmla="*/ 109855 h 1290192"/>
                    <a:gd name="connsiteX3" fmla="*/ 1039654 w 2200941"/>
                    <a:gd name="connsiteY3" fmla="*/ 508 h 1290192"/>
                    <a:gd name="connsiteX4" fmla="*/ 1053560 w 2200941"/>
                    <a:gd name="connsiteY4" fmla="*/ 127 h 1290192"/>
                    <a:gd name="connsiteX5" fmla="*/ 1071943 w 2200941"/>
                    <a:gd name="connsiteY5" fmla="*/ 127 h 1290192"/>
                    <a:gd name="connsiteX6" fmla="*/ 1217962 w 2200941"/>
                    <a:gd name="connsiteY6" fmla="*/ 106807 h 1290192"/>
                    <a:gd name="connsiteX7" fmla="*/ 1391984 w 2200941"/>
                    <a:gd name="connsiteY7" fmla="*/ 671735 h 1290192"/>
                    <a:gd name="connsiteX8" fmla="*/ 1564386 w 2200941"/>
                    <a:gd name="connsiteY8" fmla="*/ 111855 h 1290192"/>
                    <a:gd name="connsiteX9" fmla="*/ 1711928 w 2200941"/>
                    <a:gd name="connsiteY9" fmla="*/ 603 h 1290192"/>
                    <a:gd name="connsiteX10" fmla="*/ 1725930 w 2200941"/>
                    <a:gd name="connsiteY10" fmla="*/ 413 h 1290192"/>
                    <a:gd name="connsiteX11" fmla="*/ 1744027 w 2200941"/>
                    <a:gd name="connsiteY11" fmla="*/ 603 h 1290192"/>
                    <a:gd name="connsiteX12" fmla="*/ 1890522 w 2200941"/>
                    <a:gd name="connsiteY12" fmla="*/ 107283 h 1290192"/>
                    <a:gd name="connsiteX13" fmla="*/ 2193322 w 2200941"/>
                    <a:gd name="connsiteY13" fmla="*/ 1091121 h 1290192"/>
                    <a:gd name="connsiteX14" fmla="*/ 2200942 w 2200941"/>
                    <a:gd name="connsiteY14" fmla="*/ 1138365 h 1290192"/>
                    <a:gd name="connsiteX15" fmla="*/ 2047780 w 2200941"/>
                    <a:gd name="connsiteY15" fmla="*/ 1290098 h 1290192"/>
                    <a:gd name="connsiteX16" fmla="*/ 1901476 w 2200941"/>
                    <a:gd name="connsiteY16" fmla="*/ 1183418 h 1290192"/>
                    <a:gd name="connsiteX17" fmla="*/ 1727930 w 2200941"/>
                    <a:gd name="connsiteY17" fmla="*/ 620109 h 1290192"/>
                    <a:gd name="connsiteX18" fmla="*/ 1553718 w 2200941"/>
                    <a:gd name="connsiteY18" fmla="*/ 1185609 h 1290192"/>
                    <a:gd name="connsiteX19" fmla="*/ 1408081 w 2200941"/>
                    <a:gd name="connsiteY19" fmla="*/ 1290193 h 1290192"/>
                    <a:gd name="connsiteX20" fmla="*/ 1389602 w 2200941"/>
                    <a:gd name="connsiteY20" fmla="*/ 1290193 h 1290192"/>
                    <a:gd name="connsiteX21" fmla="*/ 1375601 w 2200941"/>
                    <a:gd name="connsiteY21" fmla="*/ 1289812 h 1290192"/>
                    <a:gd name="connsiteX22" fmla="*/ 1229582 w 2200941"/>
                    <a:gd name="connsiteY22" fmla="*/ 1183513 h 1290192"/>
                    <a:gd name="connsiteX23" fmla="*/ 1055846 w 2200941"/>
                    <a:gd name="connsiteY23" fmla="*/ 619443 h 1290192"/>
                    <a:gd name="connsiteX24" fmla="*/ 886873 w 2200941"/>
                    <a:gd name="connsiteY24" fmla="*/ 1167702 h 1290192"/>
                    <a:gd name="connsiteX25" fmla="*/ 740188 w 2200941"/>
                    <a:gd name="connsiteY25" fmla="*/ 1276953 h 1290192"/>
                    <a:gd name="connsiteX26" fmla="*/ 152971 w 2200941"/>
                    <a:gd name="connsiteY26" fmla="*/ 1276953 h 1290192"/>
                    <a:gd name="connsiteX27" fmla="*/ 0 w 2200941"/>
                    <a:gd name="connsiteY27" fmla="*/ 1125887 h 1290192"/>
                    <a:gd name="connsiteX28" fmla="*/ 153162 w 2200941"/>
                    <a:gd name="connsiteY28" fmla="*/ 974153 h 1290192"/>
                    <a:gd name="connsiteX29" fmla="*/ 579310 w 2200941"/>
                    <a:gd name="connsiteY29" fmla="*/ 974153 h 1290192"/>
                    <a:gd name="connsiteX30" fmla="*/ 640175 w 2200941"/>
                    <a:gd name="connsiteY30" fmla="*/ 929767 h 1290192"/>
                  </a:gdLst>
                  <a:ahLst/>
                  <a:cxnLst>
                    <a:cxn ang="0">
                      <a:pos x="connsiteX0" y="connsiteY0"/>
                    </a:cxn>
                    <a:cxn ang="0">
                      <a:pos x="connsiteX1" y="connsiteY1"/>
                    </a:cxn>
                    <a:cxn ang="0">
                      <a:pos x="connsiteX2" y="connsiteY2"/>
                    </a:cxn>
                    <a:cxn ang="0">
                      <a:pos x="connsiteX3" y="connsiteY3"/>
                    </a:cxn>
                    <a:cxn ang="0">
                      <a:pos x="connsiteX4" y="connsiteY4"/>
                    </a:cxn>
                    <a:cxn ang="0">
                      <a:pos x="connsiteX5" y="connsiteY5"/>
                    </a:cxn>
                    <a:cxn ang="0">
                      <a:pos x="connsiteX6" y="connsiteY6"/>
                    </a:cxn>
                    <a:cxn ang="0">
                      <a:pos x="connsiteX7" y="connsiteY7"/>
                    </a:cxn>
                    <a:cxn ang="0">
                      <a:pos x="connsiteX8" y="connsiteY8"/>
                    </a:cxn>
                    <a:cxn ang="0">
                      <a:pos x="connsiteX9" y="connsiteY9"/>
                    </a:cxn>
                    <a:cxn ang="0">
                      <a:pos x="connsiteX10" y="connsiteY10"/>
                    </a:cxn>
                    <a:cxn ang="0">
                      <a:pos x="connsiteX11" y="connsiteY11"/>
                    </a:cxn>
                    <a:cxn ang="0">
                      <a:pos x="connsiteX12" y="connsiteY12"/>
                    </a:cxn>
                    <a:cxn ang="0">
                      <a:pos x="connsiteX13" y="connsiteY13"/>
                    </a:cxn>
                    <a:cxn ang="0">
                      <a:pos x="connsiteX14" y="connsiteY14"/>
                    </a:cxn>
                    <a:cxn ang="0">
                      <a:pos x="connsiteX15" y="connsiteY15"/>
                    </a:cxn>
                    <a:cxn ang="0">
                      <a:pos x="connsiteX16" y="connsiteY16"/>
                    </a:cxn>
                    <a:cxn ang="0">
                      <a:pos x="connsiteX17" y="connsiteY17"/>
                    </a:cxn>
                    <a:cxn ang="0">
                      <a:pos x="connsiteX18" y="connsiteY18"/>
                    </a:cxn>
                    <a:cxn ang="0">
                      <a:pos x="connsiteX19" y="connsiteY19"/>
                    </a:cxn>
                    <a:cxn ang="0">
                      <a:pos x="connsiteX20" y="connsiteY20"/>
                    </a:cxn>
                    <a:cxn ang="0">
                      <a:pos x="connsiteX21" y="connsiteY21"/>
                    </a:cxn>
                    <a:cxn ang="0">
                      <a:pos x="connsiteX22" y="connsiteY22"/>
                    </a:cxn>
                    <a:cxn ang="0">
                      <a:pos x="connsiteX23" y="connsiteY23"/>
                    </a:cxn>
                    <a:cxn ang="0">
                      <a:pos x="connsiteX24" y="connsiteY24"/>
                    </a:cxn>
                    <a:cxn ang="0">
                      <a:pos x="connsiteX25" y="connsiteY25"/>
                    </a:cxn>
                    <a:cxn ang="0">
                      <a:pos x="connsiteX26" y="connsiteY26"/>
                    </a:cxn>
                    <a:cxn ang="0">
                      <a:pos x="connsiteX27" y="connsiteY27"/>
                    </a:cxn>
                    <a:cxn ang="0">
                      <a:pos x="connsiteX28" y="connsiteY28"/>
                    </a:cxn>
                    <a:cxn ang="0">
                      <a:pos x="connsiteX29" y="connsiteY29"/>
                    </a:cxn>
                    <a:cxn ang="0">
                      <a:pos x="connsiteX30" y="connsiteY30"/>
                    </a:cxn>
                  </a:cxnLst>
                  <a:rect l="l" t="t" r="r" b="b"/>
                  <a:pathLst>
                    <a:path w="2200941" h="1290192">
                      <a:moveTo>
                        <a:pt x="640175" y="929576"/>
                      </a:moveTo>
                      <a:lnTo>
                        <a:pt x="640366" y="929005"/>
                      </a:lnTo>
                      <a:lnTo>
                        <a:pt x="892683" y="109855"/>
                      </a:lnTo>
                      <a:cubicBezTo>
                        <a:pt x="911257" y="46704"/>
                        <a:pt x="969931" y="508"/>
                        <a:pt x="1039654" y="508"/>
                      </a:cubicBezTo>
                      <a:cubicBezTo>
                        <a:pt x="1044416" y="508"/>
                        <a:pt x="1048036" y="127"/>
                        <a:pt x="1053560" y="127"/>
                      </a:cubicBezTo>
                      <a:cubicBezTo>
                        <a:pt x="1060799" y="-159"/>
                        <a:pt x="1065752" y="127"/>
                        <a:pt x="1071943" y="127"/>
                      </a:cubicBezTo>
                      <a:cubicBezTo>
                        <a:pt x="1140523" y="127"/>
                        <a:pt x="1198531" y="45085"/>
                        <a:pt x="1217962" y="106807"/>
                      </a:cubicBezTo>
                      <a:lnTo>
                        <a:pt x="1391984" y="671735"/>
                      </a:lnTo>
                      <a:lnTo>
                        <a:pt x="1564386" y="111855"/>
                      </a:lnTo>
                      <a:cubicBezTo>
                        <a:pt x="1582579" y="47943"/>
                        <a:pt x="1641729" y="603"/>
                        <a:pt x="1711928" y="603"/>
                      </a:cubicBezTo>
                      <a:cubicBezTo>
                        <a:pt x="1716595" y="603"/>
                        <a:pt x="1720405" y="413"/>
                        <a:pt x="1725930" y="413"/>
                      </a:cubicBezTo>
                      <a:cubicBezTo>
                        <a:pt x="1732883" y="413"/>
                        <a:pt x="1737836" y="603"/>
                        <a:pt x="1744027" y="603"/>
                      </a:cubicBezTo>
                      <a:cubicBezTo>
                        <a:pt x="1812798" y="603"/>
                        <a:pt x="1870805" y="45466"/>
                        <a:pt x="1890522" y="107283"/>
                      </a:cubicBezTo>
                      <a:lnTo>
                        <a:pt x="2193322" y="1091121"/>
                      </a:lnTo>
                      <a:cubicBezTo>
                        <a:pt x="2198275" y="1105980"/>
                        <a:pt x="2200942" y="1121886"/>
                        <a:pt x="2200942" y="1138365"/>
                      </a:cubicBezTo>
                      <a:cubicBezTo>
                        <a:pt x="2200942" y="1222280"/>
                        <a:pt x="2132457" y="1290098"/>
                        <a:pt x="2047780" y="1290098"/>
                      </a:cubicBezTo>
                      <a:cubicBezTo>
                        <a:pt x="1979200" y="1290098"/>
                        <a:pt x="1920907" y="1245330"/>
                        <a:pt x="1901476" y="1183418"/>
                      </a:cubicBezTo>
                      <a:lnTo>
                        <a:pt x="1727930" y="620109"/>
                      </a:lnTo>
                      <a:lnTo>
                        <a:pt x="1553718" y="1185609"/>
                      </a:lnTo>
                      <a:cubicBezTo>
                        <a:pt x="1532763" y="1244378"/>
                        <a:pt x="1474946" y="1290193"/>
                        <a:pt x="1408081" y="1290193"/>
                      </a:cubicBezTo>
                      <a:lnTo>
                        <a:pt x="1389602" y="1290193"/>
                      </a:lnTo>
                      <a:cubicBezTo>
                        <a:pt x="1384173" y="1289907"/>
                        <a:pt x="1380363" y="1289812"/>
                        <a:pt x="1375601" y="1289812"/>
                      </a:cubicBezTo>
                      <a:cubicBezTo>
                        <a:pt x="1307020" y="1289812"/>
                        <a:pt x="1249204" y="1245140"/>
                        <a:pt x="1229582" y="1183513"/>
                      </a:cubicBezTo>
                      <a:lnTo>
                        <a:pt x="1055846" y="619443"/>
                      </a:lnTo>
                      <a:lnTo>
                        <a:pt x="886873" y="1167702"/>
                      </a:lnTo>
                      <a:cubicBezTo>
                        <a:pt x="868299" y="1230852"/>
                        <a:pt x="809530" y="1276953"/>
                        <a:pt x="740188" y="1276953"/>
                      </a:cubicBezTo>
                      <a:lnTo>
                        <a:pt x="152971" y="1276953"/>
                      </a:lnTo>
                      <a:cubicBezTo>
                        <a:pt x="68485" y="1276953"/>
                        <a:pt x="0" y="1209897"/>
                        <a:pt x="0" y="1125887"/>
                      </a:cubicBezTo>
                      <a:cubicBezTo>
                        <a:pt x="0" y="1041876"/>
                        <a:pt x="68485" y="974153"/>
                        <a:pt x="153162" y="974153"/>
                      </a:cubicBezTo>
                      <a:lnTo>
                        <a:pt x="579310" y="974153"/>
                      </a:lnTo>
                      <a:cubicBezTo>
                        <a:pt x="607790" y="974153"/>
                        <a:pt x="632174" y="955580"/>
                        <a:pt x="640175" y="929767"/>
                      </a:cubicBezTo>
                    </a:path>
                  </a:pathLst>
                </a:custGeom>
                <a:solidFill>
                  <a:schemeClr val="bg1"/>
                </a:solidFill>
                <a:ln w="9525" cap="flat">
                  <a:noFill/>
                  <a:prstDash val="solid"/>
                  <a:miter/>
                </a:ln>
              </xdr:spPr>
              <xdr:txBody>
                <a:bodyPr wrap="square" rtlCol="0" anchor="ctr"/>
                <a:lstStyle>
                  <a:defPPr>
                    <a:defRPr lang="pt-BR"/>
                  </a:defPPr>
                  <a:lvl1pPr marL="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1pPr>
                  <a:lvl2pPr marL="457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2pPr>
                  <a:lvl3pPr marL="914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3pPr>
                  <a:lvl4pPr marL="1371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4pPr>
                  <a:lvl5pPr marL="18288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5pPr>
                  <a:lvl6pPr marL="22860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6pPr>
                  <a:lvl7pPr marL="27432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7pPr>
                  <a:lvl8pPr marL="32004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8pPr>
                  <a:lvl9pPr marL="3657600" algn="l" defTabSz="914400" rtl="0" eaLnBrk="1" latinLnBrk="0" hangingPunct="1">
                    <a:defRPr sz="1800" kern="120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lvl9pPr>
                </a:lstStyle>
                <a:p>
                  <a:endParaRPr lang="pt-BR"/>
                </a:p>
              </xdr:txBody>
            </xdr:sp>
          </xdr:grpSp>
        </xdr:grpSp>
        <xdr:grpSp>
          <xdr:nvGrpSpPr>
            <xdr:cNvPr id="13" name="Agrupar 12">
              <a:extLst>
                <a:ext uri="{FF2B5EF4-FFF2-40B4-BE49-F238E27FC236}">
                  <a16:creationId xmlns:a16="http://schemas.microsoft.com/office/drawing/2014/main" id="{6D034B95-5784-DA4C-A408-62A79693EB52}"/>
                </a:ext>
              </a:extLst>
            </xdr:cNvPr>
            <xdr:cNvGrpSpPr/>
          </xdr:nvGrpSpPr>
          <xdr:grpSpPr>
            <a:xfrm>
              <a:off x="166794" y="656743"/>
              <a:ext cx="1490837" cy="299784"/>
              <a:chOff x="665660" y="804361"/>
              <a:chExt cx="4972991" cy="984371"/>
            </a:xfrm>
          </xdr:grpSpPr>
          <xdr:pic>
            <xdr:nvPicPr>
              <xdr:cNvPr id="14" name="Gráfico 13">
                <a:extLst>
                  <a:ext uri="{FF2B5EF4-FFF2-40B4-BE49-F238E27FC236}">
                    <a16:creationId xmlns:a16="http://schemas.microsoft.com/office/drawing/2014/main" id="{30B683DB-1C08-C491-AA71-8F2337EF3261}"/>
                  </a:ext>
                </a:extLst>
              </xdr:cNvPr>
              <xdr:cNvPicPr>
                <a:picLocks noChangeAspect="1"/>
              </xdr:cNvPicPr>
            </xdr:nvPicPr>
            <xdr:blipFill>
              <a:blip xmlns:r="http://schemas.openxmlformats.org/officeDocument/2006/relationships" r:embed="rId2">
                <a:extLst>
                  <a:ext uri="{96DAC541-7B7A-43D3-8B79-37D633B846F1}">
                    <asvg:svgBlip xmlns:asvg="http://schemas.microsoft.com/office/drawing/2016/SVG/main" r:embed="rId3"/>
                  </a:ext>
                </a:extLst>
              </a:blip>
              <a:stretch>
                <a:fillRect/>
              </a:stretch>
            </xdr:blipFill>
            <xdr:spPr>
              <a:xfrm>
                <a:off x="665660" y="804361"/>
                <a:ext cx="4972991" cy="984371"/>
              </a:xfrm>
              <a:prstGeom prst="rect">
                <a:avLst/>
              </a:prstGeom>
            </xdr:spPr>
          </xdr:pic>
          <xdr:sp macro="" textlink="">
            <xdr:nvSpPr>
              <xdr:cNvPr id="15" name="Elipse 14">
                <a:extLst>
                  <a:ext uri="{FF2B5EF4-FFF2-40B4-BE49-F238E27FC236}">
                    <a16:creationId xmlns:a16="http://schemas.microsoft.com/office/drawing/2014/main" id="{DA4F5B1F-5360-E28D-122F-84218EEC6441}"/>
                  </a:ext>
                </a:extLst>
              </xdr:cNvPr>
              <xdr:cNvSpPr/>
            </xdr:nvSpPr>
            <xdr:spPr>
              <a:xfrm>
                <a:off x="3614392" y="1405462"/>
                <a:ext cx="248171" cy="248169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6" name="Retângulo: Cantos Arredondados 15">
                <a:extLst>
                  <a:ext uri="{FF2B5EF4-FFF2-40B4-BE49-F238E27FC236}">
                    <a16:creationId xmlns:a16="http://schemas.microsoft.com/office/drawing/2014/main" id="{8327BCB9-D613-D581-74E2-4580F77C5A1E}"/>
                  </a:ext>
                </a:extLst>
              </xdr:cNvPr>
              <xdr:cNvSpPr/>
            </xdr:nvSpPr>
            <xdr:spPr>
              <a:xfrm>
                <a:off x="5457477" y="1677643"/>
                <a:ext cx="171092" cy="93736"/>
              </a:xfrm>
              <a:prstGeom prst="roundRect">
                <a:avLst>
                  <a:gd name="adj" fmla="val 50000"/>
                </a:avLst>
              </a:prstGeom>
              <a:noFill/>
              <a:ln w="6350">
                <a:gradFill flip="none" rotWithShape="1">
                  <a:gsLst>
                    <a:gs pos="10000">
                      <a:schemeClr val="accent3"/>
                    </a:gs>
                    <a:gs pos="90000">
                      <a:schemeClr val="accent4"/>
                    </a:gs>
                  </a:gsLst>
                  <a:lin ang="16200000" scaled="1"/>
                  <a:tileRect/>
                </a:gradFill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  <xdr:sp macro="" textlink="">
            <xdr:nvSpPr>
              <xdr:cNvPr id="17" name="Elipse 16">
                <a:extLst>
                  <a:ext uri="{FF2B5EF4-FFF2-40B4-BE49-F238E27FC236}">
                    <a16:creationId xmlns:a16="http://schemas.microsoft.com/office/drawing/2014/main" id="{4CD2C775-80CB-0337-F805-02B1740743AD}"/>
                  </a:ext>
                </a:extLst>
              </xdr:cNvPr>
              <xdr:cNvSpPr/>
            </xdr:nvSpPr>
            <xdr:spPr>
              <a:xfrm>
                <a:off x="5532172" y="1686303"/>
                <a:ext cx="89052" cy="82238"/>
              </a:xfrm>
              <a:prstGeom prst="ellipse">
                <a:avLst/>
              </a:prstGeom>
              <a:gradFill>
                <a:gsLst>
                  <a:gs pos="10000">
                    <a:srgbClr val="1FFE8C"/>
                  </a:gs>
                  <a:gs pos="90000">
                    <a:srgbClr val="C5FE3F"/>
                  </a:gs>
                </a:gsLst>
                <a:lin ang="0" scaled="0"/>
              </a:gradFill>
              <a:ln>
                <a:noFill/>
              </a:ln>
            </xdr:spPr>
            <xdr:style>
              <a:lnRef idx="2">
                <a:schemeClr val="accent1">
                  <a:shade val="50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wrap="square" rtlCol="0" anchor="ctr"/>
              <a:lstStyle>
                <a:defPPr>
                  <a:defRPr lang="pt-BR"/>
                </a:defPPr>
                <a:lvl1pPr marL="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1pPr>
                <a:lvl2pPr marL="457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2pPr>
                <a:lvl3pPr marL="914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3pPr>
                <a:lvl4pPr marL="1371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4pPr>
                <a:lvl5pPr marL="18288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5pPr>
                <a:lvl6pPr marL="22860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6pPr>
                <a:lvl7pPr marL="27432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7pPr>
                <a:lvl8pPr marL="32004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8pPr>
                <a:lvl9pPr marL="3657600" algn="l" defTabSz="914400" rtl="0" eaLnBrk="1" latinLnBrk="0" hangingPunct="1">
                  <a:defRPr sz="1800" kern="120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lvl9pPr>
              </a:lstStyle>
              <a:p>
                <a:pPr algn="ctr"/>
                <a:endParaRPr lang="pt-BR"/>
              </a:p>
            </xdr:txBody>
          </xdr:sp>
        </xdr:grpSp>
      </xdr:grpSp>
      <xdr:pic>
        <xdr:nvPicPr>
          <xdr:cNvPr id="9" name="Imagem 8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2A3EC0AF-96F1-905E-27C7-F9838E2DBF0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backgroundRemoval t="10000" b="90000" l="10000" r="90000"/>
                    </a14:imgEffect>
                  </a14:imgLayer>
                </a14:imgProps>
              </a:ext>
            </a:extLst>
          </a:blip>
          <a:stretch>
            <a:fillRect/>
          </a:stretch>
        </xdr:blipFill>
        <xdr:spPr>
          <a:xfrm>
            <a:off x="7981327" y="509748"/>
            <a:ext cx="1036063" cy="510070"/>
          </a:xfrm>
          <a:prstGeom prst="rect">
            <a:avLst/>
          </a:prstGeom>
        </xdr:spPr>
      </xdr:pic>
    </xdr:grpSp>
    <xdr:clientData/>
  </xdr:twoCellAnchor>
  <xdr:twoCellAnchor>
    <xdr:from>
      <xdr:col>1</xdr:col>
      <xdr:colOff>1170162</xdr:colOff>
      <xdr:row>0</xdr:row>
      <xdr:rowOff>111543</xdr:rowOff>
    </xdr:from>
    <xdr:to>
      <xdr:col>4</xdr:col>
      <xdr:colOff>332802</xdr:colOff>
      <xdr:row>5</xdr:row>
      <xdr:rowOff>108277</xdr:rowOff>
    </xdr:to>
    <xdr:sp macro="" textlink="">
      <xdr:nvSpPr>
        <xdr:cNvPr id="24" name="CaixaDeTexto 23">
          <a:extLst>
            <a:ext uri="{FF2B5EF4-FFF2-40B4-BE49-F238E27FC236}">
              <a16:creationId xmlns:a16="http://schemas.microsoft.com/office/drawing/2014/main" id="{AF7176AE-0449-4DC4-93EA-3540BC876CB3}"/>
            </a:ext>
            <a:ext uri="{147F2762-F138-4A5C-976F-8EAC2B608ADB}">
              <a16:predDERef xmlns:a16="http://schemas.microsoft.com/office/drawing/2014/main" pred="{00000000-0008-0000-0000-000021000000}"/>
            </a:ext>
          </a:extLst>
        </xdr:cNvPr>
        <xdr:cNvSpPr txBox="1"/>
      </xdr:nvSpPr>
      <xdr:spPr>
        <a:xfrm>
          <a:off x="1831309" y="111543"/>
          <a:ext cx="5281052" cy="94923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 algn="ctr"/>
          <a:r>
            <a:rPr lang="pt-BR" sz="2400" b="1">
              <a:solidFill>
                <a:schemeClr val="bg1"/>
              </a:solidFill>
              <a:latin typeface="+mj-lt"/>
              <a:ea typeface="+mj-lt"/>
              <a:cs typeface="+mj-lt"/>
            </a:rPr>
            <a:t>DESEMPENHO DE NOSSAS AÇÕES</a:t>
          </a:r>
          <a:endParaRPr lang="en-US" sz="2400" b="1">
            <a:solidFill>
              <a:schemeClr val="bg1"/>
            </a:solidFill>
            <a:latin typeface="+mj-lt"/>
            <a:ea typeface="+mj-lt"/>
            <a:cs typeface="+mj-lt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c055894\AppData\Local\Microsoft\Windows\INetCache\Content.Outlook\Y1YZNJJ9\teste_atualizado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ol pot inst"/>
      <sheetName val="Evol GF"/>
      <sheetName val="16032020"/>
      <sheetName val="10022020"/>
      <sheetName val="resumo"/>
      <sheetName val="06122019"/>
      <sheetName val="21082019"/>
      <sheetName val="23072019"/>
      <sheetName val="05062019"/>
      <sheetName val="01052019"/>
      <sheetName val="11012019"/>
      <sheetName val="31122018 (2)"/>
      <sheetName val="31122017 (2)"/>
      <sheetName val="31122018"/>
      <sheetName val="20122018"/>
      <sheetName val="28112018"/>
      <sheetName val="01082018"/>
      <sheetName val="01062018"/>
      <sheetName val="01032018"/>
      <sheetName val="01012018"/>
      <sheetName val="01122017"/>
      <sheetName val="30102017"/>
      <sheetName val="27092017"/>
      <sheetName val="08092017"/>
      <sheetName val="19072017"/>
      <sheetName val="20042017"/>
      <sheetName val="31032017"/>
      <sheetName val="20F (3)"/>
      <sheetName val="31122016"/>
      <sheetName val="04112016"/>
      <sheetName val="05082016"/>
      <sheetName val="29062016"/>
      <sheetName val="18062016"/>
      <sheetName val="19052016"/>
      <sheetName val="28042016"/>
      <sheetName val="20042016"/>
      <sheetName val="13012016"/>
      <sheetName val="06012016"/>
      <sheetName val="01082015"/>
      <sheetName val="04032015"/>
      <sheetName val="27022015"/>
      <sheetName val="31122014"/>
      <sheetName val="14122014"/>
      <sheetName val="Power View2"/>
      <sheetName val="referência"/>
      <sheetName val="20F (2)"/>
      <sheetName val="20F"/>
      <sheetName val="Dow Jones 2018"/>
      <sheetName val="teste_atualizado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noFill/>
        <a:ln w="9525" cmpd="sng">
          <a:noFill/>
        </a:ln>
      </a:spPr>
      <a:bodyPr vertOverflow="clip" horzOverflow="clip" wrap="square" rtlCol="0" anchor="ctr"/>
      <a:lstStyle>
        <a:defPPr marL="0" marR="0" indent="0" algn="ctr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sz="2800" b="1">
            <a:solidFill>
              <a:schemeClr val="bg1"/>
            </a:solidFill>
            <a:latin typeface="+mj-lt"/>
            <a:ea typeface="+mj-lt"/>
            <a:cs typeface="+mj-lt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O61"/>
  <sheetViews>
    <sheetView showGridLines="0" showRowColHeaders="0" workbookViewId="0"/>
  </sheetViews>
  <sheetFormatPr defaultColWidth="0" defaultRowHeight="15" zeroHeight="1" x14ac:dyDescent="0.25"/>
  <cols>
    <col min="1" max="1" width="7.42578125" style="1" customWidth="1"/>
    <col min="2" max="12" width="8.7109375" style="1" customWidth="1"/>
    <col min="13" max="13" width="13.42578125" style="1" customWidth="1"/>
    <col min="14" max="16384" width="13.42578125" style="1" hidden="1"/>
  </cols>
  <sheetData>
    <row r="1" spans="14:15" x14ac:dyDescent="0.25">
      <c r="N1" s="54"/>
      <c r="O1" s="54"/>
    </row>
    <row r="2" spans="14:15" x14ac:dyDescent="0.25">
      <c r="N2" s="54"/>
      <c r="O2" s="54"/>
    </row>
    <row r="3" spans="14:15" x14ac:dyDescent="0.25">
      <c r="N3" s="54"/>
      <c r="O3" s="54"/>
    </row>
    <row r="4" spans="14:15" x14ac:dyDescent="0.25">
      <c r="N4" s="54"/>
      <c r="O4" s="54"/>
    </row>
    <row r="5" spans="14:15" x14ac:dyDescent="0.25">
      <c r="N5" s="54"/>
      <c r="O5" s="54"/>
    </row>
    <row r="6" spans="14:15" x14ac:dyDescent="0.25">
      <c r="N6" s="54"/>
      <c r="O6" s="54"/>
    </row>
    <row r="7" spans="14:15" x14ac:dyDescent="0.25">
      <c r="N7" s="54"/>
      <c r="O7" s="54"/>
    </row>
    <row r="8" spans="14:15" x14ac:dyDescent="0.25">
      <c r="N8" s="54"/>
      <c r="O8" s="54"/>
    </row>
    <row r="9" spans="14:15" x14ac:dyDescent="0.25">
      <c r="N9" s="54"/>
      <c r="O9" s="54"/>
    </row>
    <row r="10" spans="14:15" x14ac:dyDescent="0.25">
      <c r="N10" s="54"/>
      <c r="O10" s="54"/>
    </row>
    <row r="11" spans="14:15" x14ac:dyDescent="0.25">
      <c r="N11" s="54"/>
      <c r="O11" s="54"/>
    </row>
    <row r="12" spans="14:15" x14ac:dyDescent="0.25">
      <c r="N12" s="54"/>
      <c r="O12" s="54"/>
    </row>
    <row r="13" spans="14:15" x14ac:dyDescent="0.25">
      <c r="N13" s="54"/>
      <c r="O13" s="54"/>
    </row>
    <row r="14" spans="14:15" x14ac:dyDescent="0.25">
      <c r="N14" s="54"/>
      <c r="O14" s="54"/>
    </row>
    <row r="15" spans="14:15" x14ac:dyDescent="0.25">
      <c r="N15" s="54"/>
      <c r="O15" s="54"/>
    </row>
    <row r="16" spans="14:15" x14ac:dyDescent="0.25">
      <c r="N16" s="54"/>
      <c r="O16" s="54"/>
    </row>
    <row r="17" spans="14:15" x14ac:dyDescent="0.25">
      <c r="N17" s="54"/>
      <c r="O17" s="54"/>
    </row>
    <row r="18" spans="14:15" x14ac:dyDescent="0.25">
      <c r="N18" s="54"/>
      <c r="O18" s="54"/>
    </row>
    <row r="19" spans="14:15" x14ac:dyDescent="0.25">
      <c r="N19" s="54"/>
      <c r="O19" s="54"/>
    </row>
    <row r="20" spans="14:15" x14ac:dyDescent="0.25">
      <c r="N20" s="54"/>
      <c r="O20" s="54"/>
    </row>
    <row r="21" spans="14:15" x14ac:dyDescent="0.25">
      <c r="N21" s="54"/>
      <c r="O21" s="54"/>
    </row>
    <row r="22" spans="14:15" x14ac:dyDescent="0.25">
      <c r="N22" s="54"/>
      <c r="O22" s="54"/>
    </row>
    <row r="23" spans="14:15" x14ac:dyDescent="0.25">
      <c r="N23" s="54"/>
      <c r="O23" s="54"/>
    </row>
    <row r="24" spans="14:15" x14ac:dyDescent="0.25">
      <c r="N24" s="54"/>
      <c r="O24" s="54"/>
    </row>
    <row r="25" spans="14:15" x14ac:dyDescent="0.25">
      <c r="N25" s="54"/>
      <c r="O25" s="54"/>
    </row>
    <row r="26" spans="14:15" x14ac:dyDescent="0.25">
      <c r="N26" s="54"/>
      <c r="O26" s="54"/>
    </row>
    <row r="27" spans="14:15" x14ac:dyDescent="0.25">
      <c r="N27" s="54"/>
      <c r="O27" s="54"/>
    </row>
    <row r="28" spans="14:15" x14ac:dyDescent="0.25">
      <c r="N28" s="54"/>
      <c r="O28" s="54"/>
    </row>
    <row r="29" spans="14:15" x14ac:dyDescent="0.25">
      <c r="N29" s="54"/>
      <c r="O29" s="54"/>
    </row>
    <row r="30" spans="14:15" x14ac:dyDescent="0.25">
      <c r="N30" s="54"/>
      <c r="O30" s="54"/>
    </row>
    <row r="31" spans="14:15" x14ac:dyDescent="0.25">
      <c r="N31" s="54"/>
      <c r="O31" s="54"/>
    </row>
    <row r="32" spans="14:15" x14ac:dyDescent="0.25">
      <c r="N32" s="54"/>
      <c r="O32" s="54"/>
    </row>
    <row r="33" spans="2:15" hidden="1" x14ac:dyDescent="0.25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</row>
    <row r="34" spans="2:15" hidden="1" x14ac:dyDescent="0.25"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54"/>
      <c r="M34" s="54"/>
      <c r="N34" s="54"/>
      <c r="O34" s="54"/>
    </row>
    <row r="35" spans="2:15" hidden="1" x14ac:dyDescent="0.25">
      <c r="B35" s="54"/>
      <c r="C35" s="54"/>
      <c r="D35" s="54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</row>
    <row r="36" spans="2:15" hidden="1" x14ac:dyDescent="0.25">
      <c r="B36" s="54"/>
      <c r="C36" s="54"/>
      <c r="D36" s="54"/>
      <c r="E36" s="54"/>
      <c r="F36" s="54"/>
      <c r="G36" s="54"/>
      <c r="H36" s="54"/>
      <c r="I36" s="54"/>
      <c r="J36" s="54"/>
      <c r="K36" s="54"/>
      <c r="L36" s="54"/>
      <c r="M36" s="54"/>
      <c r="N36" s="54"/>
      <c r="O36" s="54"/>
    </row>
    <row r="37" spans="2:15" hidden="1" x14ac:dyDescent="0.25">
      <c r="B37" s="54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</row>
    <row r="38" spans="2:15" hidden="1" x14ac:dyDescent="0.25"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</row>
    <row r="39" spans="2:15" hidden="1" x14ac:dyDescent="0.25"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N39" s="54"/>
      <c r="O39" s="54"/>
    </row>
    <row r="40" spans="2:15" hidden="1" x14ac:dyDescent="0.25"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</row>
    <row r="41" spans="2:15" hidden="1" x14ac:dyDescent="0.25"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</row>
    <row r="42" spans="2:15" hidden="1" x14ac:dyDescent="0.25"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</row>
    <row r="49" s="1" customFormat="1" x14ac:dyDescent="0.25"/>
    <row r="50" s="1" customFormat="1" hidden="1" x14ac:dyDescent="0.25"/>
    <row r="51" s="1" customFormat="1" hidden="1" x14ac:dyDescent="0.25"/>
    <row r="52" s="1" customFormat="1" hidden="1" x14ac:dyDescent="0.25"/>
    <row r="53" s="1" customFormat="1" hidden="1" x14ac:dyDescent="0.25"/>
    <row r="54" s="1" customFormat="1" hidden="1" x14ac:dyDescent="0.25"/>
    <row r="55" s="1" customFormat="1" hidden="1" x14ac:dyDescent="0.25"/>
    <row r="56" s="1" customFormat="1" hidden="1" x14ac:dyDescent="0.25"/>
    <row r="57" s="1" customFormat="1" hidden="1" x14ac:dyDescent="0.25"/>
    <row r="58" s="1" customFormat="1" hidden="1" x14ac:dyDescent="0.25"/>
    <row r="59" s="1" customFormat="1" hidden="1" x14ac:dyDescent="0.25"/>
    <row r="60" s="1" customFormat="1" hidden="1" x14ac:dyDescent="0.25"/>
    <row r="61" s="1" customFormat="1" hidden="1" x14ac:dyDescent="0.25"/>
  </sheetData>
  <pageMargins left="0.511811024" right="0.511811024" top="0.78740157499999996" bottom="0.78740157499999996" header="0.31496062000000002" footer="0.31496062000000002"/>
  <pageSetup paperSize="9" orientation="landscape" horizontalDpi="300" verticalDpi="300" r:id="rId1"/>
  <headerFooter>
    <oddFooter>&amp;R_x000D_&amp;1#&amp;"Calibri"&amp;10&amp;K000000 Classificação: Público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F2F2F2"/>
  </sheetPr>
  <dimension ref="B1:L33"/>
  <sheetViews>
    <sheetView showGridLines="0" showRowColHeaders="0" topLeftCell="A3" zoomScale="115" zoomScaleNormal="115" workbookViewId="0">
      <selection activeCell="E17" sqref="E17"/>
    </sheetView>
  </sheetViews>
  <sheetFormatPr defaultColWidth="8.85546875" defaultRowHeight="14.25" customHeight="1" x14ac:dyDescent="0.2"/>
  <cols>
    <col min="1" max="1" width="9.85546875" style="2" customWidth="1"/>
    <col min="2" max="2" width="29.28515625" style="2" bestFit="1" customWidth="1"/>
    <col min="3" max="3" width="11.7109375" style="3" bestFit="1" customWidth="1"/>
    <col min="4" max="4" width="16.140625" style="4" bestFit="1" customWidth="1"/>
    <col min="5" max="5" width="10.7109375" style="3" bestFit="1" customWidth="1"/>
    <col min="6" max="6" width="12.140625" style="2" customWidth="1"/>
    <col min="7" max="7" width="10.5703125" style="2" bestFit="1" customWidth="1"/>
    <col min="8" max="8" width="14.42578125" style="92" customWidth="1"/>
    <col min="9" max="9" width="15.140625" style="2" customWidth="1"/>
    <col min="10" max="10" width="8.7109375" style="2" customWidth="1"/>
    <col min="11" max="11" width="10.28515625" style="2" bestFit="1" customWidth="1"/>
    <col min="12" max="12" width="14" style="2" customWidth="1"/>
    <col min="13" max="13" width="8.7109375" style="2" customWidth="1"/>
    <col min="14" max="16384" width="8.85546875" style="2"/>
  </cols>
  <sheetData>
    <row r="1" spans="2:12" ht="14.25" customHeight="1" x14ac:dyDescent="0.2">
      <c r="B1" s="365"/>
      <c r="C1" s="366"/>
      <c r="D1" s="366"/>
      <c r="E1" s="366"/>
      <c r="F1" s="366"/>
      <c r="G1" s="366"/>
    </row>
    <row r="2" spans="2:12" ht="14.25" customHeight="1" x14ac:dyDescent="0.2">
      <c r="B2" s="366"/>
      <c r="C2" s="366"/>
      <c r="D2" s="366"/>
      <c r="E2" s="366"/>
      <c r="F2" s="366"/>
      <c r="G2" s="366"/>
    </row>
    <row r="3" spans="2:12" ht="14.25" customHeight="1" x14ac:dyDescent="0.2">
      <c r="B3" s="366"/>
      <c r="C3" s="366"/>
      <c r="D3" s="366"/>
      <c r="E3" s="366"/>
      <c r="F3" s="366"/>
      <c r="G3" s="366"/>
    </row>
    <row r="4" spans="2:12" ht="14.25" customHeight="1" x14ac:dyDescent="0.2">
      <c r="B4" s="366"/>
      <c r="C4" s="366"/>
      <c r="D4" s="366"/>
      <c r="E4" s="366"/>
      <c r="F4" s="366"/>
      <c r="G4" s="366"/>
    </row>
    <row r="5" spans="2:12" ht="14.25" customHeight="1" x14ac:dyDescent="0.2">
      <c r="B5" s="366"/>
      <c r="C5" s="366"/>
      <c r="D5" s="366"/>
      <c r="E5" s="366"/>
      <c r="F5" s="366"/>
      <c r="G5" s="366"/>
    </row>
    <row r="6" spans="2:12" ht="14.25" customHeight="1" x14ac:dyDescent="0.2">
      <c r="B6" s="366"/>
      <c r="C6" s="366"/>
      <c r="D6" s="366"/>
      <c r="E6" s="366"/>
      <c r="F6" s="366"/>
      <c r="G6" s="366"/>
    </row>
    <row r="7" spans="2:12" x14ac:dyDescent="0.2">
      <c r="B7" s="366"/>
      <c r="C7" s="366"/>
      <c r="D7" s="366"/>
      <c r="E7" s="366"/>
      <c r="F7" s="366"/>
      <c r="G7" s="366"/>
    </row>
    <row r="8" spans="2:12" ht="25.5" customHeight="1" x14ac:dyDescent="0.2">
      <c r="B8" s="363" t="s">
        <v>567</v>
      </c>
      <c r="C8" s="363"/>
      <c r="D8" s="363"/>
      <c r="E8" s="363"/>
      <c r="F8" s="364"/>
      <c r="I8" s="92"/>
      <c r="J8" s="92"/>
      <c r="K8" s="92"/>
      <c r="L8" s="92"/>
    </row>
    <row r="9" spans="2:12" ht="14.25" customHeight="1" x14ac:dyDescent="0.2">
      <c r="B9" s="342" t="s">
        <v>568</v>
      </c>
      <c r="C9" s="341" t="s">
        <v>569</v>
      </c>
      <c r="D9" s="341" t="s">
        <v>570</v>
      </c>
      <c r="E9" s="341" t="s">
        <v>59</v>
      </c>
      <c r="F9" s="341" t="s">
        <v>572</v>
      </c>
      <c r="I9" s="92"/>
      <c r="J9" s="92"/>
      <c r="K9" s="92"/>
      <c r="L9" s="92"/>
    </row>
    <row r="10" spans="2:12" ht="14.25" customHeight="1" x14ac:dyDescent="0.2">
      <c r="B10" s="99" t="s">
        <v>0</v>
      </c>
      <c r="C10" s="343">
        <v>1243011</v>
      </c>
      <c r="D10" s="343">
        <v>115284</v>
      </c>
      <c r="E10" s="343">
        <v>1358295</v>
      </c>
      <c r="F10" s="343"/>
      <c r="I10" s="92"/>
      <c r="J10" s="92"/>
      <c r="K10" s="92"/>
      <c r="L10" s="92"/>
    </row>
    <row r="11" spans="2:12" ht="14.25" customHeight="1" x14ac:dyDescent="0.2">
      <c r="B11" s="100" t="s">
        <v>1</v>
      </c>
      <c r="C11" s="344">
        <v>1161990</v>
      </c>
      <c r="D11" s="344">
        <v>117855</v>
      </c>
      <c r="E11" s="344">
        <v>1279845</v>
      </c>
      <c r="F11" s="347">
        <v>15676</v>
      </c>
      <c r="I11" s="92"/>
      <c r="J11" s="92"/>
      <c r="K11" s="92"/>
      <c r="L11" s="92"/>
    </row>
    <row r="12" spans="2:12" ht="14.25" customHeight="1" x14ac:dyDescent="0.2">
      <c r="B12" s="101" t="s">
        <v>2</v>
      </c>
      <c r="C12" s="344">
        <v>43096</v>
      </c>
      <c r="D12" s="344">
        <v>-1524</v>
      </c>
      <c r="E12" s="344">
        <v>41572</v>
      </c>
      <c r="F12" s="347">
        <v>11232</v>
      </c>
      <c r="I12" s="92"/>
      <c r="J12" s="92"/>
      <c r="K12" s="92"/>
      <c r="L12" s="92"/>
    </row>
    <row r="13" spans="2:12" ht="14.25" customHeight="1" x14ac:dyDescent="0.2">
      <c r="B13" s="101" t="s">
        <v>3</v>
      </c>
      <c r="C13" s="345">
        <v>26008</v>
      </c>
      <c r="D13" s="345">
        <v>-1284</v>
      </c>
      <c r="E13" s="345">
        <v>24724</v>
      </c>
      <c r="F13" s="348">
        <v>12844</v>
      </c>
      <c r="I13" s="92"/>
      <c r="J13" s="92"/>
      <c r="K13" s="92"/>
      <c r="L13" s="92"/>
    </row>
    <row r="14" spans="2:12" ht="14.25" customHeight="1" x14ac:dyDescent="0.2">
      <c r="B14" s="101" t="s">
        <v>4</v>
      </c>
      <c r="C14" s="345">
        <v>11917</v>
      </c>
      <c r="D14" s="345">
        <v>237</v>
      </c>
      <c r="E14" s="345">
        <v>12154</v>
      </c>
      <c r="F14" s="348">
        <v>15128</v>
      </c>
      <c r="I14" s="92"/>
      <c r="J14" s="92"/>
      <c r="K14" s="92"/>
      <c r="L14" s="92"/>
    </row>
    <row r="15" spans="2:12" ht="14.25" customHeight="1" x14ac:dyDescent="0.2">
      <c r="B15" s="99" t="s">
        <v>573</v>
      </c>
      <c r="C15" s="346">
        <v>625277.6496</v>
      </c>
      <c r="D15" s="346">
        <v>-32792.951199999996</v>
      </c>
      <c r="E15" s="346">
        <v>592484.69839999999</v>
      </c>
      <c r="F15" s="349"/>
      <c r="I15" s="92"/>
      <c r="J15" s="92"/>
      <c r="K15" s="92"/>
      <c r="L15" s="92"/>
    </row>
    <row r="16" spans="2:12" ht="14.25" customHeight="1" x14ac:dyDescent="0.2">
      <c r="B16" s="111" t="s">
        <v>571</v>
      </c>
      <c r="C16" s="110"/>
      <c r="D16" s="110"/>
      <c r="E16" s="110">
        <f>E15+E10</f>
        <v>1950779.6984000001</v>
      </c>
      <c r="F16" s="110"/>
      <c r="I16" s="92"/>
      <c r="J16" s="92"/>
      <c r="K16" s="92"/>
      <c r="L16" s="92"/>
    </row>
    <row r="17" spans="2:9" ht="14.25" customHeight="1" x14ac:dyDescent="0.2">
      <c r="B17" s="120"/>
      <c r="C17" s="118">
        <f>SUM(C11:C14)-C10</f>
        <v>0</v>
      </c>
      <c r="D17" s="118">
        <f>SUM(D11:D14)-D10</f>
        <v>0</v>
      </c>
      <c r="E17" s="118">
        <f>SUM(E11:E14)-E10</f>
        <v>0</v>
      </c>
      <c r="F17" s="118">
        <f>SUM(F11:F14)-F10</f>
        <v>54880</v>
      </c>
    </row>
    <row r="18" spans="2:9" ht="14.25" customHeight="1" x14ac:dyDescent="0.2">
      <c r="B18" s="120"/>
      <c r="C18" s="118">
        <f>SUM(C11:C15)-C16</f>
        <v>1868288.6496000001</v>
      </c>
      <c r="D18" s="118">
        <f>SUM(D11:D15)-D16</f>
        <v>82491.048800000004</v>
      </c>
      <c r="E18" s="118">
        <f>SUM(E11:E15)-E16</f>
        <v>0</v>
      </c>
      <c r="F18" s="118">
        <f>SUM(F11:F15)-F16</f>
        <v>54880</v>
      </c>
    </row>
    <row r="19" spans="2:9" ht="14.25" customHeight="1" x14ac:dyDescent="0.2">
      <c r="B19" s="120"/>
      <c r="C19" s="118"/>
      <c r="D19" s="119"/>
      <c r="E19" s="118"/>
    </row>
    <row r="20" spans="2:9" ht="14.25" customHeight="1" x14ac:dyDescent="0.2">
      <c r="B20" s="363" t="s">
        <v>582</v>
      </c>
      <c r="C20" s="363"/>
      <c r="D20" s="363"/>
      <c r="E20" s="363"/>
      <c r="F20" s="363"/>
      <c r="G20" s="363"/>
      <c r="H20" s="363"/>
      <c r="I20" s="363"/>
    </row>
    <row r="21" spans="2:9" ht="31.5" customHeight="1" x14ac:dyDescent="0.2">
      <c r="B21" s="341" t="s">
        <v>6</v>
      </c>
      <c r="C21" s="341" t="s">
        <v>574</v>
      </c>
      <c r="D21" s="341" t="s">
        <v>575</v>
      </c>
      <c r="E21" s="341" t="s">
        <v>7</v>
      </c>
      <c r="F21" s="341" t="s">
        <v>8</v>
      </c>
      <c r="G21" s="341" t="s">
        <v>576</v>
      </c>
      <c r="H21" s="341" t="s">
        <v>577</v>
      </c>
      <c r="I21" s="341" t="s">
        <v>578</v>
      </c>
    </row>
    <row r="22" spans="2:9" ht="14.25" customHeight="1" x14ac:dyDescent="0.2">
      <c r="B22" s="168" t="s">
        <v>9</v>
      </c>
      <c r="C22" s="350">
        <v>144547</v>
      </c>
      <c r="D22" s="350">
        <v>144547</v>
      </c>
      <c r="E22" s="350">
        <v>144547</v>
      </c>
      <c r="F22" s="350">
        <v>144375</v>
      </c>
      <c r="G22" s="350">
        <v>21662</v>
      </c>
      <c r="H22" s="350">
        <v>83019</v>
      </c>
      <c r="I22" s="350">
        <v>26039</v>
      </c>
    </row>
    <row r="23" spans="2:9" ht="14.25" customHeight="1" x14ac:dyDescent="0.2">
      <c r="B23" s="169" t="s">
        <v>10</v>
      </c>
      <c r="C23" s="351">
        <v>332489</v>
      </c>
      <c r="D23" s="351">
        <v>88662</v>
      </c>
      <c r="E23" s="351">
        <v>129953</v>
      </c>
      <c r="F23" s="351">
        <v>275556</v>
      </c>
      <c r="G23" s="351">
        <v>275556</v>
      </c>
      <c r="H23" s="351">
        <v>275556</v>
      </c>
      <c r="I23" s="351" t="s">
        <v>579</v>
      </c>
    </row>
    <row r="24" spans="2:9" x14ac:dyDescent="0.2">
      <c r="B24" s="111" t="s">
        <v>11</v>
      </c>
      <c r="C24" s="110">
        <v>477036</v>
      </c>
      <c r="D24" s="110">
        <v>233209</v>
      </c>
      <c r="E24" s="110">
        <v>274500</v>
      </c>
      <c r="F24" s="110">
        <v>419931</v>
      </c>
      <c r="G24" s="110">
        <v>297218</v>
      </c>
      <c r="H24" s="110">
        <v>358575</v>
      </c>
      <c r="I24" s="110">
        <v>26039</v>
      </c>
    </row>
    <row r="25" spans="2:9" ht="14.25" customHeight="1" x14ac:dyDescent="0.2">
      <c r="B25" s="362" t="s">
        <v>580</v>
      </c>
      <c r="C25" s="362"/>
      <c r="D25" s="362"/>
      <c r="E25" s="362"/>
      <c r="F25" s="362"/>
    </row>
    <row r="26" spans="2:9" ht="14.25" customHeight="1" x14ac:dyDescent="0.2">
      <c r="B26" s="362" t="s">
        <v>581</v>
      </c>
      <c r="C26" s="362"/>
      <c r="D26" s="362"/>
      <c r="E26" s="362"/>
      <c r="F26" s="362"/>
    </row>
    <row r="27" spans="2:9" ht="14.25" customHeight="1" x14ac:dyDescent="0.2">
      <c r="C27" s="2"/>
      <c r="D27" s="2"/>
      <c r="E27" s="2"/>
    </row>
    <row r="28" spans="2:9" ht="14.25" customHeight="1" x14ac:dyDescent="0.25">
      <c r="C28" s="2"/>
      <c r="D28" s="2"/>
      <c r="E28" s="2"/>
      <c r="F28"/>
    </row>
    <row r="29" spans="2:9" ht="14.25" customHeight="1" x14ac:dyDescent="0.2">
      <c r="C29" s="2"/>
      <c r="D29" s="2"/>
      <c r="E29" s="2"/>
    </row>
    <row r="30" spans="2:9" ht="14.25" customHeight="1" x14ac:dyDescent="0.2">
      <c r="C30" s="2"/>
      <c r="D30" s="2"/>
      <c r="E30" s="2"/>
    </row>
    <row r="31" spans="2:9" ht="14.25" customHeight="1" x14ac:dyDescent="0.2">
      <c r="C31" s="2"/>
      <c r="D31" s="2"/>
      <c r="E31" s="2"/>
    </row>
    <row r="32" spans="2:9" ht="14.25" customHeight="1" x14ac:dyDescent="0.2">
      <c r="C32" s="2"/>
      <c r="D32" s="2"/>
      <c r="E32" s="2"/>
    </row>
    <row r="33" spans="3:5" ht="14.25" customHeight="1" x14ac:dyDescent="0.2">
      <c r="C33" s="2"/>
      <c r="D33" s="2"/>
      <c r="E33" s="2"/>
    </row>
  </sheetData>
  <mergeCells count="5">
    <mergeCell ref="B25:F25"/>
    <mergeCell ref="B26:F26"/>
    <mergeCell ref="B8:F8"/>
    <mergeCell ref="B20:I20"/>
    <mergeCell ref="B1:G7"/>
  </mergeCells>
  <conditionalFormatting sqref="C10:C16">
    <cfRule type="expression" dxfId="154" priority="30">
      <formula>MOD(ROW(),2)=0</formula>
    </cfRule>
  </conditionalFormatting>
  <conditionalFormatting sqref="C10:C15">
    <cfRule type="expression" dxfId="153" priority="31">
      <formula>MOD(ROW(),2)=0</formula>
    </cfRule>
    <cfRule type="expression" dxfId="152" priority="32">
      <formula>MOD(ROW(),2)=0</formula>
    </cfRule>
  </conditionalFormatting>
  <conditionalFormatting sqref="C16:E16">
    <cfRule type="expression" dxfId="151" priority="28">
      <formula>MOD(ROW(),2)=0</formula>
    </cfRule>
    <cfRule type="expression" dxfId="150" priority="29">
      <formula>MOD(ROW(),2)=0</formula>
    </cfRule>
  </conditionalFormatting>
  <conditionalFormatting sqref="D10:D16">
    <cfRule type="expression" dxfId="149" priority="25">
      <formula>MOD(ROW(),2)=0</formula>
    </cfRule>
  </conditionalFormatting>
  <conditionalFormatting sqref="D10:D15">
    <cfRule type="expression" dxfId="148" priority="26">
      <formula>MOD(ROW(),2)=0</formula>
    </cfRule>
    <cfRule type="expression" dxfId="147" priority="27">
      <formula>MOD(ROW(),2)=0</formula>
    </cfRule>
  </conditionalFormatting>
  <conditionalFormatting sqref="E10:E16">
    <cfRule type="expression" dxfId="146" priority="22">
      <formula>MOD(ROW(),2)=0</formula>
    </cfRule>
  </conditionalFormatting>
  <conditionalFormatting sqref="E10:E15">
    <cfRule type="expression" dxfId="145" priority="23">
      <formula>MOD(ROW(),2)=0</formula>
    </cfRule>
    <cfRule type="expression" dxfId="144" priority="24">
      <formula>MOD(ROW(),2)=0</formula>
    </cfRule>
  </conditionalFormatting>
  <conditionalFormatting sqref="F10:F16">
    <cfRule type="expression" dxfId="143" priority="21">
      <formula>MOD(ROW(),2)=0</formula>
    </cfRule>
  </conditionalFormatting>
  <conditionalFormatting sqref="F10:F16">
    <cfRule type="expression" dxfId="142" priority="19">
      <formula>MOD(ROW(),2)=0</formula>
    </cfRule>
    <cfRule type="expression" dxfId="141" priority="20">
      <formula>MOD(ROW(),2)=0</formula>
    </cfRule>
  </conditionalFormatting>
  <conditionalFormatting sqref="B10:B14 B16">
    <cfRule type="expression" dxfId="140" priority="18">
      <formula>MOD(ROW(),2)=0</formula>
    </cfRule>
  </conditionalFormatting>
  <conditionalFormatting sqref="B10:B14 B16">
    <cfRule type="expression" dxfId="139" priority="16">
      <formula>MOD(ROW(),2)=0</formula>
    </cfRule>
  </conditionalFormatting>
  <conditionalFormatting sqref="B10:B14 B16">
    <cfRule type="expression" dxfId="138" priority="17">
      <formula>MOD(ROW(),2)=0</formula>
    </cfRule>
  </conditionalFormatting>
  <conditionalFormatting sqref="B15">
    <cfRule type="expression" dxfId="137" priority="15">
      <formula>MOD(ROW(),2)=0</formula>
    </cfRule>
  </conditionalFormatting>
  <conditionalFormatting sqref="B15">
    <cfRule type="expression" dxfId="136" priority="13">
      <formula>MOD(ROW(),2)=0</formula>
    </cfRule>
  </conditionalFormatting>
  <conditionalFormatting sqref="B15">
    <cfRule type="expression" dxfId="135" priority="14">
      <formula>MOD(ROW(),2)=0</formula>
    </cfRule>
  </conditionalFormatting>
  <conditionalFormatting sqref="B22:B23">
    <cfRule type="expression" dxfId="134" priority="10">
      <formula>MOD(ROW(),2)=0</formula>
    </cfRule>
  </conditionalFormatting>
  <conditionalFormatting sqref="B22:B23">
    <cfRule type="expression" dxfId="133" priority="11">
      <formula>MOD(ROW(),2)=0</formula>
    </cfRule>
    <cfRule type="expression" dxfId="132" priority="12">
      <formula>MOD(ROW(),2)=0</formula>
    </cfRule>
  </conditionalFormatting>
  <conditionalFormatting sqref="C22:I23">
    <cfRule type="expression" dxfId="131" priority="7">
      <formula>MOD(ROW(),2)=0</formula>
    </cfRule>
  </conditionalFormatting>
  <conditionalFormatting sqref="C22:I23">
    <cfRule type="expression" dxfId="130" priority="8">
      <formula>MOD(ROW(),2)=0</formula>
    </cfRule>
    <cfRule type="expression" dxfId="129" priority="9">
      <formula>MOD(ROW(),2)=0</formula>
    </cfRule>
  </conditionalFormatting>
  <conditionalFormatting sqref="C24:I24">
    <cfRule type="expression" dxfId="128" priority="5">
      <formula>MOD(ROW(),2)=0</formula>
    </cfRule>
    <cfRule type="expression" dxfId="127" priority="6">
      <formula>MOD(ROW(),2)=0</formula>
    </cfRule>
  </conditionalFormatting>
  <conditionalFormatting sqref="C24:I24">
    <cfRule type="expression" dxfId="126" priority="4">
      <formula>MOD(ROW(),2)=0</formula>
    </cfRule>
  </conditionalFormatting>
  <conditionalFormatting sqref="B24">
    <cfRule type="expression" dxfId="125" priority="3">
      <formula>MOD(ROW(),2)=0</formula>
    </cfRule>
  </conditionalFormatting>
  <conditionalFormatting sqref="B24">
    <cfRule type="expression" dxfId="124" priority="1">
      <formula>MOD(ROW(),2)=0</formula>
    </cfRule>
  </conditionalFormatting>
  <conditionalFormatting sqref="B24">
    <cfRule type="expression" dxfId="123" priority="2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3"/>
  <dimension ref="A1:I97"/>
  <sheetViews>
    <sheetView showGridLines="0" topLeftCell="A67" zoomScaleNormal="100" workbookViewId="0">
      <selection activeCell="I19" sqref="I19"/>
    </sheetView>
  </sheetViews>
  <sheetFormatPr defaultColWidth="23.5703125" defaultRowHeight="15.75" x14ac:dyDescent="0.25"/>
  <cols>
    <col min="1" max="1" width="5.7109375" style="6" customWidth="1"/>
    <col min="2" max="2" width="34" style="12" bestFit="1" customWidth="1"/>
    <col min="3" max="3" width="21.28515625" style="11" customWidth="1"/>
    <col min="4" max="4" width="19.85546875" style="10" customWidth="1"/>
    <col min="5" max="5" width="20.7109375" style="9" customWidth="1"/>
    <col min="6" max="6" width="25.5703125" style="8" customWidth="1"/>
    <col min="7" max="7" width="13.42578125" style="8" customWidth="1"/>
    <col min="8" max="8" width="29" style="7" bestFit="1" customWidth="1"/>
    <col min="9" max="16384" width="23.5703125" style="6"/>
  </cols>
  <sheetData>
    <row r="1" spans="1:9" ht="15.75" customHeight="1" x14ac:dyDescent="0.25">
      <c r="A1"/>
      <c r="B1" s="121"/>
      <c r="C1" s="14"/>
      <c r="D1" s="14"/>
      <c r="E1" s="14"/>
      <c r="F1" s="14"/>
      <c r="G1" s="14"/>
      <c r="H1" s="14"/>
    </row>
    <row r="2" spans="1:9" ht="15.75" customHeight="1" x14ac:dyDescent="0.25">
      <c r="A2"/>
      <c r="B2" s="14"/>
      <c r="C2" s="14"/>
      <c r="D2" s="14"/>
      <c r="E2" s="14"/>
      <c r="F2" s="14"/>
      <c r="G2" s="14"/>
      <c r="H2" s="14"/>
    </row>
    <row r="3" spans="1:9" ht="15.75" customHeight="1" x14ac:dyDescent="0.25">
      <c r="A3"/>
      <c r="B3" s="14"/>
      <c r="C3" s="14"/>
      <c r="D3" s="14"/>
      <c r="E3" s="14"/>
      <c r="F3" s="14"/>
      <c r="G3" s="14"/>
      <c r="H3" s="14"/>
    </row>
    <row r="4" spans="1:9" ht="15.75" customHeight="1" x14ac:dyDescent="0.25">
      <c r="A4"/>
      <c r="B4" s="14"/>
      <c r="C4" s="14"/>
      <c r="D4" s="14"/>
      <c r="E4" s="14"/>
      <c r="F4" s="14"/>
      <c r="G4" s="14"/>
      <c r="H4" s="14"/>
    </row>
    <row r="5" spans="1:9" ht="15.75" customHeight="1" x14ac:dyDescent="0.25">
      <c r="A5"/>
      <c r="B5" s="14"/>
      <c r="C5" s="14"/>
      <c r="D5" s="14"/>
      <c r="E5" s="14"/>
      <c r="F5" s="14"/>
      <c r="G5" s="14"/>
      <c r="H5" s="14"/>
    </row>
    <row r="6" spans="1:9" ht="15.75" customHeight="1" x14ac:dyDescent="0.25">
      <c r="A6"/>
      <c r="B6" s="14"/>
      <c r="C6" s="14"/>
      <c r="D6" s="14"/>
      <c r="E6" s="14"/>
      <c r="F6" s="14"/>
      <c r="G6" s="14"/>
      <c r="H6" s="14"/>
    </row>
    <row r="7" spans="1:9" ht="15.75" customHeight="1" x14ac:dyDescent="0.25">
      <c r="A7"/>
      <c r="B7" s="14"/>
      <c r="C7" s="14"/>
      <c r="D7" s="14"/>
      <c r="E7" s="14"/>
      <c r="F7" s="14"/>
      <c r="G7" s="14"/>
      <c r="H7" s="14"/>
    </row>
    <row r="8" spans="1:9" ht="15.75" customHeight="1" x14ac:dyDescent="0.25">
      <c r="A8"/>
      <c r="B8" s="14"/>
      <c r="C8" s="14"/>
      <c r="D8" s="14"/>
      <c r="E8" s="14"/>
      <c r="F8" s="14"/>
      <c r="G8" s="14"/>
      <c r="H8" s="14"/>
    </row>
    <row r="9" spans="1:9" ht="17.25" customHeight="1" x14ac:dyDescent="0.25">
      <c r="A9"/>
      <c r="B9" s="15"/>
      <c r="C9" s="15"/>
      <c r="D9" s="15"/>
      <c r="E9" s="15"/>
      <c r="F9" s="15"/>
      <c r="G9" s="15"/>
      <c r="H9" s="14"/>
    </row>
    <row r="10" spans="1:9" ht="37.5" customHeight="1" x14ac:dyDescent="0.25">
      <c r="A10" s="16"/>
      <c r="B10" s="368" t="s">
        <v>12</v>
      </c>
      <c r="C10" s="369" t="s">
        <v>13</v>
      </c>
      <c r="D10" s="367" t="s">
        <v>14</v>
      </c>
      <c r="E10" s="367" t="s">
        <v>15</v>
      </c>
      <c r="F10" s="367" t="s">
        <v>16</v>
      </c>
      <c r="G10" s="367" t="s">
        <v>17</v>
      </c>
      <c r="H10" s="367" t="s">
        <v>18</v>
      </c>
    </row>
    <row r="11" spans="1:9" x14ac:dyDescent="0.25">
      <c r="A11" s="16"/>
      <c r="B11" s="368"/>
      <c r="C11" s="369"/>
      <c r="D11" s="367"/>
      <c r="E11" s="367"/>
      <c r="F11" s="367"/>
      <c r="G11" s="367"/>
      <c r="H11" s="367"/>
    </row>
    <row r="12" spans="1:9" ht="19.5" customHeight="1" thickBot="1" x14ac:dyDescent="0.3">
      <c r="A12" s="16"/>
      <c r="B12" s="172" t="s">
        <v>19</v>
      </c>
      <c r="C12" s="172" t="s">
        <v>20</v>
      </c>
      <c r="D12" s="279">
        <v>1192</v>
      </c>
      <c r="E12" s="279">
        <v>475</v>
      </c>
      <c r="F12" s="175">
        <v>46533</v>
      </c>
      <c r="G12" s="176" t="s">
        <v>21</v>
      </c>
      <c r="H12" s="177">
        <v>1</v>
      </c>
      <c r="I12" s="171"/>
    </row>
    <row r="13" spans="1:9" ht="19.5" customHeight="1" thickBot="1" x14ac:dyDescent="0.3">
      <c r="A13" s="16"/>
      <c r="B13" s="172" t="s">
        <v>22</v>
      </c>
      <c r="C13" s="172" t="s">
        <v>20</v>
      </c>
      <c r="D13" s="280">
        <v>510</v>
      </c>
      <c r="E13" s="280">
        <v>257</v>
      </c>
      <c r="F13" s="179">
        <v>46611</v>
      </c>
      <c r="G13" s="180" t="s">
        <v>21</v>
      </c>
      <c r="H13" s="177">
        <v>1</v>
      </c>
      <c r="I13" s="171"/>
    </row>
    <row r="14" spans="1:9" ht="19.5" customHeight="1" thickBot="1" x14ac:dyDescent="0.3">
      <c r="A14" s="16"/>
      <c r="B14" s="172" t="s">
        <v>23</v>
      </c>
      <c r="C14" s="172" t="s">
        <v>20</v>
      </c>
      <c r="D14" s="279">
        <v>396</v>
      </c>
      <c r="E14" s="279">
        <v>227</v>
      </c>
      <c r="F14" s="175">
        <v>55887</v>
      </c>
      <c r="G14" s="176" t="s">
        <v>21</v>
      </c>
      <c r="H14" s="177">
        <v>1</v>
      </c>
      <c r="I14" s="171"/>
    </row>
    <row r="15" spans="1:9" ht="19.5" customHeight="1" thickBot="1" x14ac:dyDescent="0.3">
      <c r="A15" s="16"/>
      <c r="B15" s="172" t="s">
        <v>24</v>
      </c>
      <c r="C15" s="172" t="s">
        <v>20</v>
      </c>
      <c r="D15" s="280">
        <v>399</v>
      </c>
      <c r="E15" s="280">
        <v>198</v>
      </c>
      <c r="F15" s="179">
        <v>50302</v>
      </c>
      <c r="G15" s="180" t="s">
        <v>21</v>
      </c>
      <c r="H15" s="177">
        <v>1</v>
      </c>
      <c r="I15" s="171"/>
    </row>
    <row r="16" spans="1:9" ht="19.5" customHeight="1" thickBot="1" x14ac:dyDescent="0.3">
      <c r="A16" s="16"/>
      <c r="B16" s="172" t="s">
        <v>25</v>
      </c>
      <c r="C16" s="172" t="s">
        <v>20</v>
      </c>
      <c r="D16" s="279">
        <v>102</v>
      </c>
      <c r="E16" s="279">
        <v>74</v>
      </c>
      <c r="F16" s="175">
        <v>55887</v>
      </c>
      <c r="G16" s="176" t="s">
        <v>21</v>
      </c>
      <c r="H16" s="177">
        <v>1</v>
      </c>
      <c r="I16" s="171"/>
    </row>
    <row r="17" spans="1:9" ht="19.5" customHeight="1" thickBot="1" x14ac:dyDescent="0.3">
      <c r="A17" s="16"/>
      <c r="B17" s="172" t="s">
        <v>26</v>
      </c>
      <c r="C17" s="172" t="s">
        <v>535</v>
      </c>
      <c r="D17" s="280">
        <v>78</v>
      </c>
      <c r="E17" s="280">
        <v>54</v>
      </c>
      <c r="F17" s="179">
        <v>46262</v>
      </c>
      <c r="G17" s="180" t="s">
        <v>21</v>
      </c>
      <c r="H17" s="177">
        <v>1</v>
      </c>
      <c r="I17" s="171"/>
    </row>
    <row r="18" spans="1:9" ht="19.5" customHeight="1" thickBot="1" x14ac:dyDescent="0.3">
      <c r="A18" s="16"/>
      <c r="B18" s="172" t="s">
        <v>27</v>
      </c>
      <c r="C18" s="172" t="s">
        <v>536</v>
      </c>
      <c r="D18" s="279">
        <v>55</v>
      </c>
      <c r="E18" s="279">
        <v>28</v>
      </c>
      <c r="F18" s="175">
        <v>49656</v>
      </c>
      <c r="G18" s="176" t="s">
        <v>21</v>
      </c>
      <c r="H18" s="177">
        <v>1</v>
      </c>
      <c r="I18" s="171"/>
    </row>
    <row r="19" spans="1:9" ht="19.5" customHeight="1" thickBot="1" x14ac:dyDescent="0.3">
      <c r="A19" s="16"/>
      <c r="B19" s="172" t="s">
        <v>28</v>
      </c>
      <c r="C19" s="172" t="s">
        <v>29</v>
      </c>
      <c r="D19" s="280">
        <v>52</v>
      </c>
      <c r="E19" s="280">
        <v>27</v>
      </c>
      <c r="F19" s="179">
        <v>55887</v>
      </c>
      <c r="G19" s="180" t="s">
        <v>21</v>
      </c>
      <c r="H19" s="177">
        <v>1</v>
      </c>
      <c r="I19" s="171"/>
    </row>
    <row r="20" spans="1:9" ht="19.5" customHeight="1" thickBot="1" x14ac:dyDescent="0.3">
      <c r="A20" s="16"/>
      <c r="B20" s="172" t="s">
        <v>30</v>
      </c>
      <c r="C20" s="172" t="s">
        <v>31</v>
      </c>
      <c r="D20" s="279">
        <v>46</v>
      </c>
      <c r="E20" s="279">
        <v>22</v>
      </c>
      <c r="F20" s="175">
        <v>55887</v>
      </c>
      <c r="G20" s="176" t="s">
        <v>21</v>
      </c>
      <c r="H20" s="177">
        <v>1</v>
      </c>
      <c r="I20" s="171"/>
    </row>
    <row r="21" spans="1:9" ht="19.5" customHeight="1" thickBot="1" x14ac:dyDescent="0.3">
      <c r="A21" s="16"/>
      <c r="B21" s="172" t="s">
        <v>32</v>
      </c>
      <c r="C21" s="172" t="s">
        <v>20</v>
      </c>
      <c r="D21" s="280">
        <v>42</v>
      </c>
      <c r="E21" s="280">
        <v>18</v>
      </c>
      <c r="F21" s="179">
        <v>48208</v>
      </c>
      <c r="G21" s="180" t="s">
        <v>33</v>
      </c>
      <c r="H21" s="177">
        <v>1</v>
      </c>
      <c r="I21" s="171"/>
    </row>
    <row r="22" spans="1:9" ht="19.5" customHeight="1" thickBot="1" x14ac:dyDescent="0.3">
      <c r="A22" s="16"/>
      <c r="B22" s="172" t="s">
        <v>34</v>
      </c>
      <c r="C22" s="172" t="s">
        <v>20</v>
      </c>
      <c r="D22" s="279">
        <v>30</v>
      </c>
      <c r="E22" s="279">
        <v>17</v>
      </c>
      <c r="F22" s="175">
        <v>55666</v>
      </c>
      <c r="G22" s="176" t="s">
        <v>35</v>
      </c>
      <c r="H22" s="177">
        <v>1</v>
      </c>
      <c r="I22" s="171"/>
    </row>
    <row r="23" spans="1:9" ht="19.5" customHeight="1" thickBot="1" x14ac:dyDescent="0.3">
      <c r="A23" s="16"/>
      <c r="B23" s="172" t="s">
        <v>36</v>
      </c>
      <c r="C23" s="172" t="s">
        <v>537</v>
      </c>
      <c r="D23" s="280">
        <v>23</v>
      </c>
      <c r="E23" s="280">
        <v>14</v>
      </c>
      <c r="F23" s="179">
        <v>48503</v>
      </c>
      <c r="G23" s="180" t="s">
        <v>35</v>
      </c>
      <c r="H23" s="177">
        <v>1</v>
      </c>
      <c r="I23" s="171"/>
    </row>
    <row r="24" spans="1:9" ht="19.5" customHeight="1" thickBot="1" x14ac:dyDescent="0.3">
      <c r="A24" s="16"/>
      <c r="B24" s="172" t="s">
        <v>37</v>
      </c>
      <c r="C24" s="172" t="s">
        <v>38</v>
      </c>
      <c r="D24" s="279">
        <v>18</v>
      </c>
      <c r="E24" s="279">
        <v>14</v>
      </c>
      <c r="F24" s="175">
        <v>55887</v>
      </c>
      <c r="G24" s="176" t="s">
        <v>21</v>
      </c>
      <c r="H24" s="177">
        <v>1</v>
      </c>
      <c r="I24" s="171"/>
    </row>
    <row r="25" spans="1:9" ht="19.5" customHeight="1" thickBot="1" x14ac:dyDescent="0.3">
      <c r="A25" s="16"/>
      <c r="B25" s="172" t="s">
        <v>39</v>
      </c>
      <c r="C25" s="172" t="s">
        <v>20</v>
      </c>
      <c r="D25" s="280">
        <v>29</v>
      </c>
      <c r="E25" s="280">
        <v>8</v>
      </c>
      <c r="F25" s="179">
        <v>48481</v>
      </c>
      <c r="G25" s="180" t="s">
        <v>33</v>
      </c>
      <c r="H25" s="177">
        <v>1</v>
      </c>
      <c r="I25" s="171"/>
    </row>
    <row r="26" spans="1:9" ht="19.5" customHeight="1" thickBot="1" x14ac:dyDescent="0.3">
      <c r="A26" s="16"/>
      <c r="B26" s="172" t="s">
        <v>40</v>
      </c>
      <c r="C26" s="172" t="s">
        <v>41</v>
      </c>
      <c r="D26" s="279">
        <v>14</v>
      </c>
      <c r="E26" s="279">
        <v>7</v>
      </c>
      <c r="F26" s="175">
        <v>55887</v>
      </c>
      <c r="G26" s="176" t="s">
        <v>21</v>
      </c>
      <c r="H26" s="177">
        <v>1</v>
      </c>
      <c r="I26" s="171"/>
    </row>
    <row r="27" spans="1:9" ht="19.5" customHeight="1" thickBot="1" x14ac:dyDescent="0.3">
      <c r="A27" s="16"/>
      <c r="B27" s="172" t="s">
        <v>42</v>
      </c>
      <c r="C27" s="172" t="s">
        <v>43</v>
      </c>
      <c r="D27" s="280">
        <v>9</v>
      </c>
      <c r="E27" s="280">
        <v>6</v>
      </c>
      <c r="F27" s="179">
        <v>55887</v>
      </c>
      <c r="G27" s="180" t="s">
        <v>21</v>
      </c>
      <c r="H27" s="177">
        <v>1</v>
      </c>
      <c r="I27" s="171"/>
    </row>
    <row r="28" spans="1:9" ht="19.5" customHeight="1" thickBot="1" x14ac:dyDescent="0.3">
      <c r="A28" s="16"/>
      <c r="B28" s="172" t="s">
        <v>44</v>
      </c>
      <c r="C28" s="172" t="s">
        <v>38</v>
      </c>
      <c r="D28" s="279">
        <v>8</v>
      </c>
      <c r="E28" s="279">
        <v>5</v>
      </c>
      <c r="F28" s="175">
        <v>55887</v>
      </c>
      <c r="G28" s="176" t="s">
        <v>21</v>
      </c>
      <c r="H28" s="177">
        <v>1</v>
      </c>
      <c r="I28" s="171"/>
    </row>
    <row r="29" spans="1:9" ht="19.5" customHeight="1" thickBot="1" x14ac:dyDescent="0.3">
      <c r="A29" s="16"/>
      <c r="B29" s="172" t="s">
        <v>45</v>
      </c>
      <c r="C29" s="172" t="s">
        <v>20</v>
      </c>
      <c r="D29" s="280">
        <v>87</v>
      </c>
      <c r="E29" s="280">
        <v>53</v>
      </c>
      <c r="F29" s="179">
        <v>49137</v>
      </c>
      <c r="G29" s="180" t="s">
        <v>21</v>
      </c>
      <c r="H29" s="177">
        <v>0.82499999999999996</v>
      </c>
      <c r="I29" s="171"/>
    </row>
    <row r="30" spans="1:9" ht="19.5" customHeight="1" thickBot="1" x14ac:dyDescent="0.3">
      <c r="A30" s="16"/>
      <c r="B30" s="172" t="s">
        <v>46</v>
      </c>
      <c r="C30" s="172" t="s">
        <v>47</v>
      </c>
      <c r="D30" s="279">
        <v>1313</v>
      </c>
      <c r="E30" s="279">
        <v>534</v>
      </c>
      <c r="F30" s="175">
        <v>53519</v>
      </c>
      <c r="G30" s="176" t="s">
        <v>21</v>
      </c>
      <c r="H30" s="177">
        <v>0.1169</v>
      </c>
      <c r="I30" s="171"/>
    </row>
    <row r="31" spans="1:9" ht="19.5" customHeight="1" thickBot="1" x14ac:dyDescent="0.3">
      <c r="A31" s="16"/>
      <c r="B31" s="172" t="s">
        <v>48</v>
      </c>
      <c r="C31" s="172" t="s">
        <v>538</v>
      </c>
      <c r="D31" s="280">
        <v>12</v>
      </c>
      <c r="E31" s="280">
        <v>10</v>
      </c>
      <c r="F31" s="179">
        <v>48949</v>
      </c>
      <c r="G31" s="180" t="s">
        <v>35</v>
      </c>
      <c r="H31" s="177">
        <v>0.49</v>
      </c>
      <c r="I31" s="171"/>
    </row>
    <row r="32" spans="1:9" ht="19.5" customHeight="1" thickBot="1" x14ac:dyDescent="0.3">
      <c r="A32" s="16"/>
      <c r="B32" s="172" t="s">
        <v>49</v>
      </c>
      <c r="C32" s="172" t="s">
        <v>50</v>
      </c>
      <c r="D32" s="280">
        <v>13</v>
      </c>
      <c r="E32" s="280">
        <v>8</v>
      </c>
      <c r="F32" s="179">
        <v>48826</v>
      </c>
      <c r="G32" s="180" t="s">
        <v>35</v>
      </c>
      <c r="H32" s="177">
        <v>0.49</v>
      </c>
      <c r="I32" s="171"/>
    </row>
    <row r="33" spans="1:9" ht="19.5" customHeight="1" thickBot="1" x14ac:dyDescent="0.3">
      <c r="A33" s="16"/>
      <c r="B33" s="172" t="s">
        <v>51</v>
      </c>
      <c r="C33" s="172" t="s">
        <v>52</v>
      </c>
      <c r="D33" s="279">
        <v>10</v>
      </c>
      <c r="E33" s="279">
        <v>6</v>
      </c>
      <c r="F33" s="175">
        <v>49285</v>
      </c>
      <c r="G33" s="176" t="s">
        <v>35</v>
      </c>
      <c r="H33" s="177">
        <v>0.49</v>
      </c>
      <c r="I33" s="171"/>
    </row>
    <row r="34" spans="1:9" ht="19.5" customHeight="1" thickBot="1" x14ac:dyDescent="0.3">
      <c r="A34" s="16"/>
      <c r="B34" s="172" t="s">
        <v>53</v>
      </c>
      <c r="C34" s="172"/>
      <c r="D34" s="280">
        <v>84</v>
      </c>
      <c r="E34" s="280">
        <v>41</v>
      </c>
      <c r="F34" s="179"/>
      <c r="G34" s="180"/>
      <c r="H34" s="177"/>
      <c r="I34" s="171"/>
    </row>
    <row r="35" spans="1:9" ht="19.5" customHeight="1" thickBot="1" x14ac:dyDescent="0.3">
      <c r="A35" s="16"/>
      <c r="B35" s="184" t="s">
        <v>54</v>
      </c>
      <c r="C35" s="184"/>
      <c r="D35" s="281">
        <f>SUM(D12:D34)</f>
        <v>4522</v>
      </c>
      <c r="E35" s="281">
        <f>SUM(E12:E34)</f>
        <v>2103</v>
      </c>
      <c r="F35" s="185"/>
      <c r="G35" s="185"/>
      <c r="H35" s="185"/>
    </row>
    <row r="36" spans="1:9" s="170" customFormat="1" ht="19.5" customHeight="1" thickBot="1" x14ac:dyDescent="0.3">
      <c r="A36" s="16"/>
      <c r="B36" s="172" t="s">
        <v>55</v>
      </c>
      <c r="C36" s="172" t="s">
        <v>56</v>
      </c>
      <c r="D36" s="279">
        <v>29</v>
      </c>
      <c r="E36" s="279" t="s">
        <v>5</v>
      </c>
      <c r="F36" s="174"/>
      <c r="G36" s="176" t="s">
        <v>57</v>
      </c>
      <c r="H36" s="177">
        <v>0.49</v>
      </c>
      <c r="I36" s="6"/>
    </row>
    <row r="37" spans="1:9" ht="19.5" customHeight="1" thickBot="1" x14ac:dyDescent="0.3">
      <c r="A37" s="16"/>
      <c r="B37" s="172" t="s">
        <v>55</v>
      </c>
      <c r="C37" s="172" t="s">
        <v>58</v>
      </c>
      <c r="D37" s="279">
        <v>36</v>
      </c>
      <c r="E37" s="279" t="s">
        <v>5</v>
      </c>
      <c r="F37" s="174"/>
      <c r="G37" s="176" t="s">
        <v>57</v>
      </c>
      <c r="H37" s="177">
        <v>1</v>
      </c>
    </row>
    <row r="38" spans="1:9" ht="19.5" customHeight="1" thickBot="1" x14ac:dyDescent="0.3">
      <c r="A38" s="16"/>
      <c r="B38" s="184" t="s">
        <v>59</v>
      </c>
      <c r="C38" s="184"/>
      <c r="D38" s="281">
        <f>SUM(D35:D37)</f>
        <v>4587</v>
      </c>
      <c r="E38" s="281">
        <f>SUM(E35:E37)</f>
        <v>2103</v>
      </c>
      <c r="F38" s="185"/>
      <c r="G38" s="185"/>
      <c r="H38" s="185"/>
    </row>
    <row r="39" spans="1:9" ht="19.5" customHeight="1" x14ac:dyDescent="0.25">
      <c r="A39" s="16"/>
      <c r="C39" s="12"/>
      <c r="D39" s="12"/>
      <c r="E39" s="12"/>
      <c r="F39" s="12"/>
      <c r="G39" s="12"/>
      <c r="H39" s="12"/>
      <c r="I39" s="12"/>
    </row>
    <row r="40" spans="1:9" x14ac:dyDescent="0.25">
      <c r="C40" s="12"/>
      <c r="D40" s="12"/>
      <c r="E40" s="12"/>
      <c r="F40" s="12"/>
      <c r="G40" s="12"/>
      <c r="H40" s="12"/>
      <c r="I40" s="12"/>
    </row>
    <row r="42" spans="1:9" x14ac:dyDescent="0.25">
      <c r="B42" s="282" t="s">
        <v>60</v>
      </c>
    </row>
    <row r="43" spans="1:9" x14ac:dyDescent="0.25">
      <c r="B43" s="96"/>
    </row>
    <row r="44" spans="1:9" x14ac:dyDescent="0.25">
      <c r="B44" s="368" t="s">
        <v>12</v>
      </c>
      <c r="C44" s="369" t="s">
        <v>13</v>
      </c>
      <c r="D44" s="367" t="s">
        <v>14</v>
      </c>
      <c r="E44" s="367" t="s">
        <v>15</v>
      </c>
      <c r="F44" s="367" t="s">
        <v>16</v>
      </c>
      <c r="G44" s="367" t="s">
        <v>17</v>
      </c>
      <c r="H44" s="367" t="s">
        <v>18</v>
      </c>
    </row>
    <row r="45" spans="1:9" ht="15.75" customHeight="1" x14ac:dyDescent="0.25">
      <c r="B45" s="368"/>
      <c r="C45" s="369"/>
      <c r="D45" s="367"/>
      <c r="E45" s="367"/>
      <c r="F45" s="367"/>
      <c r="G45" s="367"/>
      <c r="H45" s="367"/>
    </row>
    <row r="46" spans="1:9" ht="16.5" thickBot="1" x14ac:dyDescent="0.3">
      <c r="B46" s="172" t="s">
        <v>68</v>
      </c>
      <c r="C46" s="173" t="s">
        <v>20</v>
      </c>
      <c r="D46" s="174">
        <v>4.28</v>
      </c>
      <c r="E46" s="174">
        <v>1.9</v>
      </c>
      <c r="F46" s="175" t="s">
        <v>583</v>
      </c>
      <c r="G46" s="176" t="s">
        <v>35</v>
      </c>
      <c r="H46" s="177">
        <v>1</v>
      </c>
      <c r="I46" s="303"/>
    </row>
    <row r="47" spans="1:9" ht="16.5" thickBot="1" x14ac:dyDescent="0.3">
      <c r="B47" s="172" t="s">
        <v>74</v>
      </c>
      <c r="C47" s="173" t="s">
        <v>20</v>
      </c>
      <c r="D47" s="174">
        <v>1.62</v>
      </c>
      <c r="E47" s="174">
        <v>0.61</v>
      </c>
      <c r="F47" s="175" t="s">
        <v>69</v>
      </c>
      <c r="G47" s="176" t="s">
        <v>72</v>
      </c>
      <c r="H47" s="177">
        <v>1</v>
      </c>
      <c r="I47" s="303"/>
    </row>
    <row r="48" spans="1:9" ht="16.5" thickBot="1" x14ac:dyDescent="0.3">
      <c r="B48" s="172" t="s">
        <v>76</v>
      </c>
      <c r="C48" s="173" t="s">
        <v>20</v>
      </c>
      <c r="D48" s="178">
        <v>1.4184000000000001</v>
      </c>
      <c r="E48" s="178">
        <v>0.18</v>
      </c>
      <c r="F48" s="179" t="s">
        <v>69</v>
      </c>
      <c r="G48" s="180" t="s">
        <v>57</v>
      </c>
      <c r="H48" s="177">
        <v>1</v>
      </c>
      <c r="I48" s="303"/>
    </row>
    <row r="49" spans="2:9" ht="16.5" thickBot="1" x14ac:dyDescent="0.3">
      <c r="B49" s="172" t="s">
        <v>70</v>
      </c>
      <c r="C49" s="173" t="s">
        <v>41</v>
      </c>
      <c r="D49" s="174">
        <v>7.7</v>
      </c>
      <c r="E49" s="174">
        <v>1.84</v>
      </c>
      <c r="F49" s="175">
        <v>55887</v>
      </c>
      <c r="G49" s="176" t="s">
        <v>21</v>
      </c>
      <c r="H49" s="177">
        <v>1</v>
      </c>
      <c r="I49" s="303"/>
    </row>
    <row r="50" spans="2:9" ht="16.5" thickBot="1" x14ac:dyDescent="0.3">
      <c r="B50" s="172" t="s">
        <v>66</v>
      </c>
      <c r="C50" s="173" t="s">
        <v>41</v>
      </c>
      <c r="D50" s="178">
        <v>7.2</v>
      </c>
      <c r="E50" s="178">
        <v>2.69</v>
      </c>
      <c r="F50" s="179">
        <v>55887</v>
      </c>
      <c r="G50" s="180" t="s">
        <v>21</v>
      </c>
      <c r="H50" s="177">
        <v>1</v>
      </c>
      <c r="I50" s="303"/>
    </row>
    <row r="51" spans="2:9" ht="16.5" thickBot="1" x14ac:dyDescent="0.3">
      <c r="B51" s="172" t="s">
        <v>62</v>
      </c>
      <c r="C51" s="173" t="s">
        <v>43</v>
      </c>
      <c r="D51" s="174">
        <v>8.5</v>
      </c>
      <c r="E51" s="174">
        <v>3.39</v>
      </c>
      <c r="F51" s="175">
        <v>53668</v>
      </c>
      <c r="G51" s="176" t="s">
        <v>21</v>
      </c>
      <c r="H51" s="177">
        <v>1</v>
      </c>
      <c r="I51" s="303"/>
    </row>
    <row r="52" spans="2:9" ht="16.5" thickBot="1" x14ac:dyDescent="0.3">
      <c r="B52" s="172" t="s">
        <v>64</v>
      </c>
      <c r="C52" s="173" t="s">
        <v>43</v>
      </c>
      <c r="D52" s="178">
        <v>6.97</v>
      </c>
      <c r="E52" s="178">
        <v>3.19</v>
      </c>
      <c r="F52" s="179">
        <v>53802</v>
      </c>
      <c r="G52" s="180" t="s">
        <v>21</v>
      </c>
      <c r="H52" s="177">
        <v>1</v>
      </c>
      <c r="I52" s="303"/>
    </row>
    <row r="53" spans="2:9" ht="16.5" thickBot="1" x14ac:dyDescent="0.3">
      <c r="B53" s="172" t="s">
        <v>61</v>
      </c>
      <c r="C53" s="173" t="s">
        <v>43</v>
      </c>
      <c r="D53" s="178">
        <v>6.47</v>
      </c>
      <c r="E53" s="178">
        <v>4.66</v>
      </c>
      <c r="F53" s="179">
        <v>53802</v>
      </c>
      <c r="G53" s="180" t="s">
        <v>21</v>
      </c>
      <c r="H53" s="177">
        <v>1</v>
      </c>
      <c r="I53" s="303"/>
    </row>
    <row r="54" spans="2:9" ht="16.5" thickBot="1" x14ac:dyDescent="0.3">
      <c r="B54" s="172" t="s">
        <v>73</v>
      </c>
      <c r="C54" s="173" t="s">
        <v>43</v>
      </c>
      <c r="D54" s="174">
        <v>2.41</v>
      </c>
      <c r="E54" s="174">
        <v>1.03</v>
      </c>
      <c r="F54" s="175">
        <v>54988</v>
      </c>
      <c r="G54" s="176" t="s">
        <v>21</v>
      </c>
      <c r="H54" s="177">
        <v>1</v>
      </c>
      <c r="I54" s="303"/>
    </row>
    <row r="55" spans="2:9" ht="16.5" thickBot="1" x14ac:dyDescent="0.3">
      <c r="B55" s="172" t="s">
        <v>75</v>
      </c>
      <c r="C55" s="173" t="s">
        <v>43</v>
      </c>
      <c r="D55" s="174">
        <v>1.42</v>
      </c>
      <c r="E55" s="174">
        <v>0.35</v>
      </c>
      <c r="F55" s="175">
        <v>53763</v>
      </c>
      <c r="G55" s="176" t="s">
        <v>21</v>
      </c>
      <c r="H55" s="177">
        <v>1</v>
      </c>
      <c r="I55" s="303"/>
    </row>
    <row r="56" spans="2:9" ht="16.5" thickBot="1" x14ac:dyDescent="0.3">
      <c r="B56" s="172" t="s">
        <v>63</v>
      </c>
      <c r="C56" s="173" t="s">
        <v>38</v>
      </c>
      <c r="D56" s="174">
        <v>5.04</v>
      </c>
      <c r="E56" s="174">
        <v>3.26</v>
      </c>
      <c r="F56" s="175">
        <v>53794</v>
      </c>
      <c r="G56" s="176" t="s">
        <v>21</v>
      </c>
      <c r="H56" s="177">
        <v>1</v>
      </c>
      <c r="I56" s="303"/>
    </row>
    <row r="57" spans="2:9" ht="16.5" thickBot="1" x14ac:dyDescent="0.3">
      <c r="B57" s="172" t="s">
        <v>67</v>
      </c>
      <c r="C57" s="173" t="s">
        <v>38</v>
      </c>
      <c r="D57" s="174">
        <v>4.08</v>
      </c>
      <c r="E57" s="174">
        <v>2.36</v>
      </c>
      <c r="F57" s="175">
        <v>55887</v>
      </c>
      <c r="G57" s="176" t="s">
        <v>21</v>
      </c>
      <c r="H57" s="177">
        <v>1</v>
      </c>
      <c r="I57" s="303"/>
    </row>
    <row r="58" spans="2:9" ht="16.5" thickBot="1" x14ac:dyDescent="0.3">
      <c r="B58" s="172" t="s">
        <v>65</v>
      </c>
      <c r="C58" s="173" t="s">
        <v>38</v>
      </c>
      <c r="D58" s="174">
        <v>4</v>
      </c>
      <c r="E58" s="174">
        <v>2.74</v>
      </c>
      <c r="F58" s="175">
        <v>55887</v>
      </c>
      <c r="G58" s="176" t="s">
        <v>21</v>
      </c>
      <c r="H58" s="177">
        <v>1</v>
      </c>
      <c r="I58" s="303"/>
    </row>
    <row r="59" spans="2:9" ht="16.5" thickBot="1" x14ac:dyDescent="0.3">
      <c r="B59" s="172" t="s">
        <v>71</v>
      </c>
      <c r="C59" s="173" t="s">
        <v>20</v>
      </c>
      <c r="D59" s="178">
        <v>1.72</v>
      </c>
      <c r="E59" s="178">
        <v>1.1399999999999999</v>
      </c>
      <c r="F59" s="179">
        <v>46528</v>
      </c>
      <c r="G59" s="180" t="s">
        <v>35</v>
      </c>
      <c r="H59" s="177">
        <v>1</v>
      </c>
      <c r="I59" s="303"/>
    </row>
    <row r="60" spans="2:9" ht="16.5" thickBot="1" x14ac:dyDescent="0.3">
      <c r="B60" s="172" t="s">
        <v>77</v>
      </c>
      <c r="C60" s="173" t="s">
        <v>78</v>
      </c>
      <c r="D60" s="174">
        <v>6.8599999999999994</v>
      </c>
      <c r="E60" s="174">
        <v>3.4985999999999997</v>
      </c>
      <c r="F60" s="175">
        <v>48589</v>
      </c>
      <c r="G60" s="176" t="s">
        <v>35</v>
      </c>
      <c r="H60" s="177">
        <v>1</v>
      </c>
      <c r="I60" s="303"/>
    </row>
    <row r="61" spans="2:9" ht="16.5" thickBot="1" x14ac:dyDescent="0.3">
      <c r="B61" s="172" t="s">
        <v>79</v>
      </c>
      <c r="C61" s="173" t="s">
        <v>78</v>
      </c>
      <c r="D61" s="178">
        <v>5.88</v>
      </c>
      <c r="E61" s="178">
        <v>3.1898999999999997</v>
      </c>
      <c r="F61" s="179">
        <v>48567</v>
      </c>
      <c r="G61" s="180" t="s">
        <v>35</v>
      </c>
      <c r="H61" s="177">
        <v>1</v>
      </c>
      <c r="I61" s="303"/>
    </row>
    <row r="62" spans="2:9" ht="16.5" thickBot="1" x14ac:dyDescent="0.3">
      <c r="B62" s="172" t="s">
        <v>81</v>
      </c>
      <c r="C62" s="173" t="s">
        <v>78</v>
      </c>
      <c r="D62" s="174">
        <v>4.41</v>
      </c>
      <c r="E62" s="174">
        <v>2.2833999999999999</v>
      </c>
      <c r="F62" s="175">
        <v>48228</v>
      </c>
      <c r="G62" s="176" t="s">
        <v>35</v>
      </c>
      <c r="H62" s="177">
        <v>1</v>
      </c>
      <c r="I62" s="303"/>
    </row>
    <row r="63" spans="2:9" ht="16.5" thickBot="1" x14ac:dyDescent="0.3">
      <c r="B63" s="172" t="s">
        <v>80</v>
      </c>
      <c r="C63" s="173" t="s">
        <v>78</v>
      </c>
      <c r="D63" s="178">
        <v>4.41</v>
      </c>
      <c r="E63" s="178">
        <v>2.4451000000000001</v>
      </c>
      <c r="F63" s="179">
        <v>48522</v>
      </c>
      <c r="G63" s="180" t="s">
        <v>35</v>
      </c>
      <c r="H63" s="177">
        <v>1</v>
      </c>
      <c r="I63" s="303"/>
    </row>
    <row r="64" spans="2:9" ht="16.5" thickBot="1" x14ac:dyDescent="0.3">
      <c r="B64" s="283" t="s">
        <v>82</v>
      </c>
      <c r="C64" s="283"/>
      <c r="D64" s="284">
        <f>SUM(D46:D63)</f>
        <v>84.38839999999999</v>
      </c>
      <c r="E64" s="284">
        <f>SUM(E46:E63)</f>
        <v>40.757000000000005</v>
      </c>
      <c r="F64" s="285"/>
      <c r="G64" s="285"/>
      <c r="H64" s="285"/>
    </row>
    <row r="65" spans="2:8" x14ac:dyDescent="0.25">
      <c r="B65"/>
      <c r="C65"/>
      <c r="D65" s="352">
        <f>D64-D34</f>
        <v>0.38839999999999009</v>
      </c>
      <c r="E65" s="352">
        <f>E64-E34</f>
        <v>-0.242999999999995</v>
      </c>
      <c r="F65"/>
      <c r="G65"/>
      <c r="H65"/>
    </row>
    <row r="66" spans="2:8" x14ac:dyDescent="0.25">
      <c r="B66"/>
      <c r="C66"/>
      <c r="D66"/>
      <c r="E66"/>
      <c r="F66"/>
      <c r="G66"/>
      <c r="H66"/>
    </row>
    <row r="67" spans="2:8" x14ac:dyDescent="0.25">
      <c r="B67"/>
      <c r="C67"/>
      <c r="D67"/>
      <c r="E67"/>
      <c r="F67"/>
      <c r="G67"/>
      <c r="H67"/>
    </row>
    <row r="68" spans="2:8" x14ac:dyDescent="0.25">
      <c r="B68" s="282" t="s">
        <v>83</v>
      </c>
      <c r="C68"/>
      <c r="D68"/>
      <c r="E68"/>
      <c r="F68"/>
      <c r="G68" s="6"/>
      <c r="H68" s="6"/>
    </row>
    <row r="69" spans="2:8" x14ac:dyDescent="0.25">
      <c r="B69" s="96"/>
      <c r="C69"/>
      <c r="D69"/>
      <c r="E69"/>
      <c r="F69"/>
      <c r="G69" s="6"/>
      <c r="H69" s="6"/>
    </row>
    <row r="70" spans="2:8" x14ac:dyDescent="0.25">
      <c r="B70" s="368" t="s">
        <v>12</v>
      </c>
      <c r="C70" s="369" t="s">
        <v>13</v>
      </c>
      <c r="D70" s="367" t="s">
        <v>84</v>
      </c>
      <c r="E70" s="367" t="s">
        <v>17</v>
      </c>
      <c r="F70" s="367" t="s">
        <v>18</v>
      </c>
      <c r="G70" s="6"/>
      <c r="H70" s="6"/>
    </row>
    <row r="71" spans="2:8" x14ac:dyDescent="0.25">
      <c r="B71" s="368"/>
      <c r="C71" s="369"/>
      <c r="D71" s="367"/>
      <c r="E71" s="367"/>
      <c r="F71" s="367"/>
      <c r="G71" s="6"/>
      <c r="H71" s="6"/>
    </row>
    <row r="72" spans="2:8" ht="16.5" thickBot="1" x14ac:dyDescent="0.3">
      <c r="B72" s="172" t="s">
        <v>85</v>
      </c>
      <c r="C72" s="173" t="s">
        <v>86</v>
      </c>
      <c r="D72" s="182">
        <v>2.548</v>
      </c>
      <c r="E72" s="181" t="s">
        <v>57</v>
      </c>
      <c r="F72" s="183">
        <v>0.49</v>
      </c>
      <c r="G72" s="6"/>
      <c r="H72" s="6"/>
    </row>
    <row r="73" spans="2:8" ht="16.5" thickBot="1" x14ac:dyDescent="0.3">
      <c r="B73" s="172" t="s">
        <v>87</v>
      </c>
      <c r="C73" s="173" t="s">
        <v>86</v>
      </c>
      <c r="D73" s="182">
        <v>2.5872000000000002</v>
      </c>
      <c r="E73" s="181" t="s">
        <v>57</v>
      </c>
      <c r="F73" s="183">
        <v>0.49</v>
      </c>
      <c r="G73" s="6"/>
      <c r="H73" s="6"/>
    </row>
    <row r="74" spans="2:8" ht="16.5" thickBot="1" x14ac:dyDescent="0.3">
      <c r="B74" s="172" t="s">
        <v>88</v>
      </c>
      <c r="C74" s="173" t="s">
        <v>86</v>
      </c>
      <c r="D74" s="182">
        <v>3.1065999999999998</v>
      </c>
      <c r="E74" s="181" t="s">
        <v>57</v>
      </c>
      <c r="F74" s="183">
        <v>0.49</v>
      </c>
      <c r="G74" s="6"/>
      <c r="H74" s="6"/>
    </row>
    <row r="75" spans="2:8" ht="16.5" thickBot="1" x14ac:dyDescent="0.3">
      <c r="B75" s="172" t="s">
        <v>89</v>
      </c>
      <c r="C75" s="173" t="s">
        <v>86</v>
      </c>
      <c r="D75" s="182">
        <v>1.6905000000000001</v>
      </c>
      <c r="E75" s="181" t="s">
        <v>57</v>
      </c>
      <c r="F75" s="183">
        <v>0.49</v>
      </c>
      <c r="G75" s="6"/>
      <c r="H75" s="6"/>
    </row>
    <row r="76" spans="2:8" ht="16.5" thickBot="1" x14ac:dyDescent="0.3">
      <c r="B76" s="172" t="s">
        <v>90</v>
      </c>
      <c r="C76" s="173" t="s">
        <v>86</v>
      </c>
      <c r="D76" s="182">
        <v>3.5916999999999999</v>
      </c>
      <c r="E76" s="181" t="s">
        <v>57</v>
      </c>
      <c r="F76" s="183">
        <v>0.49</v>
      </c>
      <c r="G76" s="6"/>
      <c r="H76" s="6"/>
    </row>
    <row r="77" spans="2:8" ht="16.5" thickBot="1" x14ac:dyDescent="0.3">
      <c r="B77" s="172" t="s">
        <v>91</v>
      </c>
      <c r="C77" s="173" t="s">
        <v>86</v>
      </c>
      <c r="D77" s="182">
        <v>3.1261999999999999</v>
      </c>
      <c r="E77" s="181" t="s">
        <v>57</v>
      </c>
      <c r="F77" s="183">
        <v>0.49</v>
      </c>
      <c r="G77" s="6"/>
      <c r="H77" s="6"/>
    </row>
    <row r="78" spans="2:8" ht="16.5" thickBot="1" x14ac:dyDescent="0.3">
      <c r="B78" s="172" t="s">
        <v>92</v>
      </c>
      <c r="C78" s="173" t="s">
        <v>86</v>
      </c>
      <c r="D78" s="182">
        <v>1.5827</v>
      </c>
      <c r="E78" s="181" t="s">
        <v>57</v>
      </c>
      <c r="F78" s="183">
        <v>0.49</v>
      </c>
      <c r="G78" s="6"/>
      <c r="H78" s="6"/>
    </row>
    <row r="79" spans="2:8" ht="16.5" thickBot="1" x14ac:dyDescent="0.3">
      <c r="B79" s="172" t="s">
        <v>93</v>
      </c>
      <c r="C79" s="173" t="s">
        <v>86</v>
      </c>
      <c r="D79" s="182">
        <v>1.2690999999999999</v>
      </c>
      <c r="E79" s="181" t="s">
        <v>57</v>
      </c>
      <c r="F79" s="183">
        <v>0.49</v>
      </c>
      <c r="G79" s="6"/>
      <c r="H79" s="6"/>
    </row>
    <row r="80" spans="2:8" ht="16.5" thickBot="1" x14ac:dyDescent="0.3">
      <c r="B80" s="172" t="s">
        <v>94</v>
      </c>
      <c r="C80" s="173" t="s">
        <v>86</v>
      </c>
      <c r="D80" s="182">
        <v>1.5827</v>
      </c>
      <c r="E80" s="181" t="s">
        <v>57</v>
      </c>
      <c r="F80" s="183">
        <v>0.49</v>
      </c>
      <c r="G80" s="6"/>
      <c r="H80" s="6"/>
    </row>
    <row r="81" spans="2:8" ht="16.5" thickBot="1" x14ac:dyDescent="0.3">
      <c r="B81" s="172" t="s">
        <v>95</v>
      </c>
      <c r="C81" s="173" t="s">
        <v>86</v>
      </c>
      <c r="D81" s="182">
        <v>1.5827</v>
      </c>
      <c r="E81" s="181" t="s">
        <v>57</v>
      </c>
      <c r="F81" s="183">
        <v>0.49</v>
      </c>
      <c r="G81" s="6"/>
      <c r="H81" s="6"/>
    </row>
    <row r="82" spans="2:8" ht="16.5" thickBot="1" x14ac:dyDescent="0.3">
      <c r="B82" s="172" t="s">
        <v>96</v>
      </c>
      <c r="C82" s="173" t="s">
        <v>86</v>
      </c>
      <c r="D82" s="182">
        <v>3.6014999999999997</v>
      </c>
      <c r="E82" s="181" t="s">
        <v>57</v>
      </c>
      <c r="F82" s="183">
        <v>0.49</v>
      </c>
      <c r="G82" s="6"/>
      <c r="H82" s="6"/>
    </row>
    <row r="83" spans="2:8" ht="16.5" thickBot="1" x14ac:dyDescent="0.3">
      <c r="B83" s="172" t="s">
        <v>97</v>
      </c>
      <c r="C83" s="173" t="s">
        <v>86</v>
      </c>
      <c r="D83" s="182">
        <v>1.35093</v>
      </c>
      <c r="E83" s="181" t="s">
        <v>57</v>
      </c>
      <c r="F83" s="183">
        <v>0.49</v>
      </c>
      <c r="G83" s="6"/>
      <c r="H83" s="6"/>
    </row>
    <row r="84" spans="2:8" ht="16.5" thickBot="1" x14ac:dyDescent="0.3">
      <c r="B84" s="172" t="s">
        <v>98</v>
      </c>
      <c r="C84" s="173" t="s">
        <v>86</v>
      </c>
      <c r="D84" s="182">
        <v>1.35093</v>
      </c>
      <c r="E84" s="181" t="s">
        <v>57</v>
      </c>
      <c r="F84" s="183">
        <v>0.49</v>
      </c>
      <c r="G84" s="6"/>
      <c r="H84" s="6"/>
    </row>
    <row r="85" spans="2:8" ht="16.5" thickBot="1" x14ac:dyDescent="0.3">
      <c r="B85" s="184" t="s">
        <v>99</v>
      </c>
      <c r="C85" s="184"/>
      <c r="D85" s="286">
        <f>SUM(D72:D84)</f>
        <v>28.970759999999991</v>
      </c>
      <c r="E85" s="185"/>
      <c r="F85" s="185"/>
      <c r="G85" s="6"/>
      <c r="H85" s="6"/>
    </row>
    <row r="86" spans="2:8" ht="16.5" thickBot="1" x14ac:dyDescent="0.3">
      <c r="B86" s="172" t="s">
        <v>100</v>
      </c>
      <c r="C86" s="173" t="s">
        <v>86</v>
      </c>
      <c r="D86" s="182">
        <v>3.2559999999999998</v>
      </c>
      <c r="E86" s="181" t="s">
        <v>57</v>
      </c>
      <c r="F86" s="183">
        <v>1</v>
      </c>
      <c r="G86" s="6"/>
      <c r="H86" s="6"/>
    </row>
    <row r="87" spans="2:8" ht="16.5" thickBot="1" x14ac:dyDescent="0.3">
      <c r="B87" s="172" t="s">
        <v>101</v>
      </c>
      <c r="C87" s="173" t="s">
        <v>86</v>
      </c>
      <c r="D87" s="182">
        <v>3.2559999999999998</v>
      </c>
      <c r="E87" s="181" t="s">
        <v>57</v>
      </c>
      <c r="F87" s="183">
        <v>1</v>
      </c>
      <c r="G87" s="6"/>
      <c r="H87" s="6"/>
    </row>
    <row r="88" spans="2:8" ht="16.5" thickBot="1" x14ac:dyDescent="0.3">
      <c r="B88" s="172" t="s">
        <v>102</v>
      </c>
      <c r="C88" s="173" t="s">
        <v>86</v>
      </c>
      <c r="D88" s="182">
        <v>3.2559999999999998</v>
      </c>
      <c r="E88" s="181" t="s">
        <v>57</v>
      </c>
      <c r="F88" s="183">
        <v>1</v>
      </c>
      <c r="G88" s="6"/>
      <c r="H88" s="6"/>
    </row>
    <row r="89" spans="2:8" ht="16.5" thickBot="1" x14ac:dyDescent="0.3">
      <c r="B89" s="172" t="s">
        <v>103</v>
      </c>
      <c r="C89" s="173" t="s">
        <v>86</v>
      </c>
      <c r="D89" s="182">
        <v>3.2559999999999998</v>
      </c>
      <c r="E89" s="181" t="s">
        <v>57</v>
      </c>
      <c r="F89" s="183">
        <v>1</v>
      </c>
      <c r="G89" s="6"/>
      <c r="H89" s="6"/>
    </row>
    <row r="90" spans="2:8" ht="16.5" thickBot="1" x14ac:dyDescent="0.3">
      <c r="B90" s="172" t="s">
        <v>104</v>
      </c>
      <c r="C90" s="173" t="s">
        <v>86</v>
      </c>
      <c r="D90" s="182">
        <v>6.4580000000000002</v>
      </c>
      <c r="E90" s="181" t="s">
        <v>57</v>
      </c>
      <c r="F90" s="183">
        <v>1</v>
      </c>
      <c r="G90" s="6"/>
      <c r="H90" s="6"/>
    </row>
    <row r="91" spans="2:8" ht="16.5" thickBot="1" x14ac:dyDescent="0.3">
      <c r="B91" s="172" t="s">
        <v>105</v>
      </c>
      <c r="C91" s="173" t="s">
        <v>86</v>
      </c>
      <c r="D91" s="182">
        <v>3.2</v>
      </c>
      <c r="E91" s="181" t="s">
        <v>57</v>
      </c>
      <c r="F91" s="183">
        <v>1</v>
      </c>
      <c r="G91" s="6"/>
      <c r="H91" s="6"/>
    </row>
    <row r="92" spans="2:8" ht="16.5" thickBot="1" x14ac:dyDescent="0.3">
      <c r="B92" s="172" t="s">
        <v>547</v>
      </c>
      <c r="C92" s="173" t="s">
        <v>86</v>
      </c>
      <c r="D92" s="304">
        <v>6.55</v>
      </c>
      <c r="E92" s="181" t="s">
        <v>57</v>
      </c>
      <c r="F92" s="183">
        <v>1</v>
      </c>
      <c r="G92" s="6"/>
      <c r="H92" s="6"/>
    </row>
    <row r="93" spans="2:8" ht="16.5" thickBot="1" x14ac:dyDescent="0.3">
      <c r="B93" s="172" t="s">
        <v>595</v>
      </c>
      <c r="C93" s="173" t="s">
        <v>86</v>
      </c>
      <c r="D93" s="182">
        <v>6.55</v>
      </c>
      <c r="E93" s="181" t="s">
        <v>57</v>
      </c>
      <c r="F93" s="183">
        <v>1</v>
      </c>
      <c r="G93" s="6"/>
      <c r="H93" s="6"/>
    </row>
    <row r="94" spans="2:8" ht="16.5" thickBot="1" x14ac:dyDescent="0.3">
      <c r="B94" s="287" t="s">
        <v>106</v>
      </c>
      <c r="C94" s="287"/>
      <c r="D94" s="288">
        <f>SUM(D86:D93)</f>
        <v>35.781999999999996</v>
      </c>
      <c r="E94" s="285"/>
      <c r="F94" s="285"/>
      <c r="G94" s="6"/>
      <c r="H94" s="6"/>
    </row>
    <row r="95" spans="2:8" ht="16.5" thickBot="1" x14ac:dyDescent="0.3">
      <c r="B95" s="184" t="s">
        <v>107</v>
      </c>
      <c r="C95" s="184"/>
      <c r="D95" s="286">
        <f>D94+D85</f>
        <v>64.752759999999995</v>
      </c>
      <c r="E95" s="184"/>
      <c r="F95" s="184"/>
      <c r="G95" s="6"/>
      <c r="H95" s="6"/>
    </row>
    <row r="96" spans="2:8" x14ac:dyDescent="0.25">
      <c r="E96" s="8"/>
      <c r="F96" s="7"/>
      <c r="G96" s="6"/>
      <c r="H96" s="6"/>
    </row>
    <row r="97" spans="5:8" x14ac:dyDescent="0.25">
      <c r="E97" s="8"/>
      <c r="F97" s="7"/>
      <c r="G97" s="6"/>
      <c r="H97" s="6"/>
    </row>
  </sheetData>
  <dataConsolidate/>
  <mergeCells count="19">
    <mergeCell ref="E70:E71"/>
    <mergeCell ref="F70:F71"/>
    <mergeCell ref="B70:B71"/>
    <mergeCell ref="C70:C71"/>
    <mergeCell ref="D70:D71"/>
    <mergeCell ref="G44:G45"/>
    <mergeCell ref="H44:H45"/>
    <mergeCell ref="H10:H11"/>
    <mergeCell ref="B10:B11"/>
    <mergeCell ref="C10:C11"/>
    <mergeCell ref="G10:G11"/>
    <mergeCell ref="D10:D11"/>
    <mergeCell ref="E10:E11"/>
    <mergeCell ref="F10:F11"/>
    <mergeCell ref="B44:B45"/>
    <mergeCell ref="C44:C45"/>
    <mergeCell ref="D44:D45"/>
    <mergeCell ref="E44:E45"/>
    <mergeCell ref="F44:F45"/>
  </mergeCells>
  <conditionalFormatting sqref="B72:F84 B46:H63 B12:H34">
    <cfRule type="expression" dxfId="122" priority="27">
      <formula>MOD(ROW(),2)=0</formula>
    </cfRule>
    <cfRule type="expression" dxfId="121" priority="28">
      <formula>MOD(ROW(),2)=0</formula>
    </cfRule>
  </conditionalFormatting>
  <conditionalFormatting sqref="B86:F93">
    <cfRule type="expression" dxfId="120" priority="25">
      <formula>MOD(ROW(),2)=0</formula>
    </cfRule>
    <cfRule type="expression" dxfId="119" priority="26">
      <formula>MOD(ROW(),2)=0</formula>
    </cfRule>
  </conditionalFormatting>
  <conditionalFormatting sqref="B37:E39">
    <cfRule type="expression" dxfId="118" priority="17">
      <formula>MOD(ROW(),2)=0</formula>
    </cfRule>
    <cfRule type="expression" dxfId="117" priority="18">
      <formula>MOD(ROW(),2)=0</formula>
    </cfRule>
  </conditionalFormatting>
  <conditionalFormatting sqref="G37:H37 F38:H39">
    <cfRule type="expression" dxfId="116" priority="15">
      <formula>MOD(ROW(),2)=0</formula>
    </cfRule>
    <cfRule type="expression" dxfId="115" priority="16">
      <formula>MOD(ROW(),2)=0</formula>
    </cfRule>
  </conditionalFormatting>
  <conditionalFormatting sqref="F36:F37">
    <cfRule type="expression" dxfId="114" priority="13">
      <formula>MOD(ROW(),2)=0</formula>
    </cfRule>
    <cfRule type="expression" dxfId="113" priority="14">
      <formula>MOD(ROW(),2)=0</formula>
    </cfRule>
  </conditionalFormatting>
  <conditionalFormatting sqref="B35:E35">
    <cfRule type="expression" dxfId="112" priority="9">
      <formula>MOD(ROW(),2)=0</formula>
    </cfRule>
    <cfRule type="expression" dxfId="111" priority="10">
      <formula>MOD(ROW(),2)=0</formula>
    </cfRule>
  </conditionalFormatting>
  <conditionalFormatting sqref="F35:H35">
    <cfRule type="expression" dxfId="110" priority="7">
      <formula>MOD(ROW(),2)=0</formula>
    </cfRule>
    <cfRule type="expression" dxfId="109" priority="8">
      <formula>MOD(ROW(),2)=0</formula>
    </cfRule>
  </conditionalFormatting>
  <conditionalFormatting sqref="B36:E36">
    <cfRule type="expression" dxfId="108" priority="5">
      <formula>MOD(ROW(),2)=0</formula>
    </cfRule>
    <cfRule type="expression" dxfId="107" priority="6">
      <formula>MOD(ROW(),2)=0</formula>
    </cfRule>
  </conditionalFormatting>
  <conditionalFormatting sqref="G36:H36">
    <cfRule type="expression" dxfId="106" priority="3">
      <formula>MOD(ROW(),2)=0</formula>
    </cfRule>
    <cfRule type="expression" dxfId="105" priority="4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Planilha4">
    <pageSetUpPr autoPageBreaks="0"/>
  </sheetPr>
  <dimension ref="B1:M51"/>
  <sheetViews>
    <sheetView showGridLines="0" showRowColHeaders="0" workbookViewId="0"/>
  </sheetViews>
  <sheetFormatPr defaultColWidth="9.140625" defaultRowHeight="0" customHeight="1" zeroHeight="1" x14ac:dyDescent="0.2"/>
  <cols>
    <col min="1" max="1" width="16.5703125" style="18" customWidth="1"/>
    <col min="2" max="2" width="30.85546875" style="18" customWidth="1"/>
    <col min="3" max="3" width="10.85546875" style="18" customWidth="1"/>
    <col min="4" max="4" width="5" style="18" customWidth="1"/>
    <col min="5" max="5" width="32.42578125" style="18" customWidth="1"/>
    <col min="6" max="6" width="9.140625" style="18" customWidth="1"/>
    <col min="7" max="7" width="13.7109375" style="18" customWidth="1"/>
    <col min="8" max="10" width="9.140625" style="18" customWidth="1"/>
    <col min="11" max="11" width="12.140625" style="18" bestFit="1" customWidth="1"/>
    <col min="12" max="12" width="9.140625" style="18" customWidth="1"/>
    <col min="13" max="13" width="11.5703125" style="18" customWidth="1"/>
    <col min="14" max="16384" width="9.140625" style="18"/>
  </cols>
  <sheetData>
    <row r="1" spans="2:8" ht="12.75" customHeight="1" x14ac:dyDescent="0.2">
      <c r="B1" s="121"/>
      <c r="C1" s="14"/>
      <c r="D1" s="14"/>
      <c r="E1" s="14"/>
      <c r="F1" s="14"/>
      <c r="G1" s="14"/>
    </row>
    <row r="2" spans="2:8" ht="12.75" customHeight="1" x14ac:dyDescent="0.2">
      <c r="B2" s="14"/>
      <c r="C2" s="14"/>
      <c r="D2" s="14"/>
      <c r="E2" s="14"/>
      <c r="F2" s="14"/>
      <c r="G2" s="14"/>
    </row>
    <row r="3" spans="2:8" ht="12.75" customHeight="1" x14ac:dyDescent="0.2">
      <c r="B3" s="14"/>
      <c r="C3" s="14"/>
      <c r="D3" s="14"/>
      <c r="E3" s="14"/>
      <c r="F3" s="14"/>
      <c r="G3" s="14"/>
    </row>
    <row r="4" spans="2:8" ht="12.75" customHeight="1" x14ac:dyDescent="0.2">
      <c r="B4" s="14"/>
      <c r="C4" s="14"/>
      <c r="D4" s="14"/>
      <c r="E4" s="14"/>
      <c r="F4" s="14"/>
      <c r="G4" s="14"/>
    </row>
    <row r="5" spans="2:8" ht="12.75" customHeight="1" x14ac:dyDescent="0.2">
      <c r="B5" s="14"/>
      <c r="C5" s="14"/>
      <c r="D5" s="14"/>
      <c r="E5" s="14"/>
      <c r="F5" s="14"/>
      <c r="G5" s="14"/>
    </row>
    <row r="6" spans="2:8" ht="12.75" customHeight="1" x14ac:dyDescent="0.2">
      <c r="B6" s="14"/>
      <c r="C6" s="14"/>
      <c r="D6" s="14"/>
      <c r="E6" s="14"/>
      <c r="F6" s="14"/>
      <c r="G6" s="14"/>
    </row>
    <row r="7" spans="2:8" ht="9" customHeight="1" x14ac:dyDescent="0.2"/>
    <row r="8" spans="2:8" ht="9" customHeight="1" x14ac:dyDescent="0.2"/>
    <row r="9" spans="2:8" ht="12.75" customHeight="1" x14ac:dyDescent="0.2"/>
    <row r="10" spans="2:8" ht="12.75" customHeight="1" thickBot="1" x14ac:dyDescent="0.25"/>
    <row r="11" spans="2:8" ht="33.75" customHeight="1" thickTop="1" x14ac:dyDescent="0.2">
      <c r="B11" s="370" t="s">
        <v>544</v>
      </c>
      <c r="C11" s="371"/>
      <c r="E11" s="374" t="s">
        <v>108</v>
      </c>
      <c r="F11" s="375"/>
    </row>
    <row r="12" spans="2:8" ht="15.75" x14ac:dyDescent="0.2">
      <c r="B12" s="372" t="s">
        <v>584</v>
      </c>
      <c r="C12" s="373"/>
      <c r="E12" s="372" t="s">
        <v>584</v>
      </c>
      <c r="F12" s="373"/>
    </row>
    <row r="13" spans="2:8" ht="12.75" x14ac:dyDescent="0.2">
      <c r="B13" s="261" t="s">
        <v>109</v>
      </c>
      <c r="C13" s="262">
        <f>SUM(C14:C16)</f>
        <v>1542</v>
      </c>
      <c r="E13" s="261" t="s">
        <v>110</v>
      </c>
      <c r="F13" s="262">
        <v>22265</v>
      </c>
      <c r="H13" s="19"/>
    </row>
    <row r="14" spans="2:8" ht="12.75" x14ac:dyDescent="0.2">
      <c r="B14" s="63" t="s">
        <v>111</v>
      </c>
      <c r="C14" s="64">
        <f>1368+1</f>
        <v>1369</v>
      </c>
      <c r="E14" s="63"/>
      <c r="F14" s="64"/>
      <c r="H14" s="19"/>
    </row>
    <row r="15" spans="2:8" ht="12.75" x14ac:dyDescent="0.2">
      <c r="B15" s="63" t="s">
        <v>112</v>
      </c>
      <c r="C15" s="64">
        <v>202</v>
      </c>
      <c r="E15" s="63"/>
      <c r="F15" s="64"/>
    </row>
    <row r="16" spans="2:8" ht="12.75" x14ac:dyDescent="0.2">
      <c r="B16" s="63" t="s">
        <v>113</v>
      </c>
      <c r="C16" s="64">
        <v>-29</v>
      </c>
      <c r="E16" s="63"/>
      <c r="F16" s="64"/>
    </row>
    <row r="17" spans="2:13" ht="12.75" x14ac:dyDescent="0.2">
      <c r="B17" s="63"/>
      <c r="C17" s="64"/>
      <c r="E17" s="261" t="s">
        <v>114</v>
      </c>
      <c r="F17" s="262">
        <v>1622</v>
      </c>
    </row>
    <row r="18" spans="2:13" ht="12.75" x14ac:dyDescent="0.2">
      <c r="B18" s="259" t="s">
        <v>115</v>
      </c>
      <c r="C18" s="260">
        <f>SUM(C19:C27)</f>
        <v>22451</v>
      </c>
      <c r="E18" s="259"/>
      <c r="F18" s="260"/>
    </row>
    <row r="19" spans="2:13" ht="12.75" x14ac:dyDescent="0.2">
      <c r="B19" s="63" t="s">
        <v>116</v>
      </c>
      <c r="C19" s="353">
        <v>1355</v>
      </c>
      <c r="E19" s="63"/>
      <c r="F19" s="353"/>
    </row>
    <row r="20" spans="2:13" ht="12.75" x14ac:dyDescent="0.2">
      <c r="B20" s="63" t="s">
        <v>117</v>
      </c>
      <c r="C20" s="353">
        <v>4991</v>
      </c>
      <c r="E20" s="63"/>
      <c r="F20" s="353"/>
    </row>
    <row r="21" spans="2:13" ht="12.75" x14ac:dyDescent="0.2">
      <c r="B21" s="63" t="s">
        <v>118</v>
      </c>
      <c r="C21" s="353">
        <v>699</v>
      </c>
      <c r="E21" s="261" t="s">
        <v>119</v>
      </c>
      <c r="F21" s="262">
        <v>106</v>
      </c>
    </row>
    <row r="22" spans="2:13" ht="12.75" x14ac:dyDescent="0.2">
      <c r="B22" s="63" t="s">
        <v>120</v>
      </c>
      <c r="C22" s="353">
        <v>5192</v>
      </c>
      <c r="E22" s="63"/>
      <c r="F22" s="353"/>
    </row>
    <row r="23" spans="2:13" ht="12.75" x14ac:dyDescent="0.2">
      <c r="B23" s="63" t="s">
        <v>121</v>
      </c>
      <c r="C23" s="353">
        <f>7084+1</f>
        <v>7085</v>
      </c>
      <c r="E23" s="63"/>
      <c r="F23" s="353"/>
    </row>
    <row r="24" spans="2:13" ht="12.75" x14ac:dyDescent="0.2">
      <c r="B24" s="63" t="s">
        <v>122</v>
      </c>
      <c r="C24" s="353">
        <v>269</v>
      </c>
      <c r="E24" s="63"/>
      <c r="F24" s="353"/>
    </row>
    <row r="25" spans="2:13" ht="12.75" x14ac:dyDescent="0.2">
      <c r="B25" s="63" t="s">
        <v>123</v>
      </c>
      <c r="C25" s="353">
        <v>1235</v>
      </c>
      <c r="E25" s="63"/>
      <c r="F25" s="353"/>
    </row>
    <row r="26" spans="2:13" ht="12.75" x14ac:dyDescent="0.2">
      <c r="B26" s="63" t="s">
        <v>124</v>
      </c>
      <c r="C26" s="353">
        <v>1489</v>
      </c>
      <c r="E26" s="63"/>
      <c r="F26" s="353"/>
    </row>
    <row r="27" spans="2:13" ht="13.5" thickBot="1" x14ac:dyDescent="0.25">
      <c r="B27" s="65" t="s">
        <v>125</v>
      </c>
      <c r="C27" s="354">
        <v>136</v>
      </c>
      <c r="E27" s="65"/>
      <c r="F27" s="354"/>
    </row>
    <row r="28" spans="2:13" ht="12.75" customHeight="1" thickTop="1" x14ac:dyDescent="0.25">
      <c r="D28" s="22"/>
    </row>
    <row r="29" spans="2:13" ht="22.5" customHeight="1" x14ac:dyDescent="0.2">
      <c r="B29" s="376" t="s">
        <v>585</v>
      </c>
      <c r="C29" s="376"/>
      <c r="D29" s="376"/>
      <c r="E29" s="376"/>
      <c r="F29" s="376"/>
    </row>
    <row r="30" spans="2:13" ht="12.75" customHeight="1" x14ac:dyDescent="0.25">
      <c r="B30" s="362" t="s">
        <v>126</v>
      </c>
      <c r="C30" s="362"/>
      <c r="D30" s="362"/>
      <c r="E30" s="362"/>
      <c r="F30" s="362"/>
      <c r="M30" s="20"/>
    </row>
    <row r="31" spans="2:13" ht="12.75" customHeight="1" x14ac:dyDescent="0.25">
      <c r="B31" s="362" t="s">
        <v>127</v>
      </c>
      <c r="C31" s="362"/>
      <c r="D31" s="362"/>
      <c r="E31" s="362"/>
      <c r="F31" s="362"/>
      <c r="M31" s="20"/>
    </row>
    <row r="32" spans="2:13" ht="12.75" customHeight="1" x14ac:dyDescent="0.25">
      <c r="B32" s="362" t="s">
        <v>128</v>
      </c>
      <c r="C32" s="362"/>
      <c r="D32" s="362"/>
      <c r="E32" s="362"/>
      <c r="F32" s="362"/>
      <c r="K32" s="21"/>
      <c r="M32" s="20"/>
    </row>
    <row r="33" spans="2:13" ht="12.75" customHeight="1" x14ac:dyDescent="0.25">
      <c r="B33" s="362" t="s">
        <v>129</v>
      </c>
      <c r="C33" s="362"/>
      <c r="D33" s="362"/>
      <c r="E33" s="362"/>
      <c r="F33" s="362"/>
      <c r="K33" s="21"/>
      <c r="M33" s="20"/>
    </row>
    <row r="34" spans="2:13" ht="12.75" customHeight="1" x14ac:dyDescent="0.25">
      <c r="M34" s="20"/>
    </row>
    <row r="35" spans="2:13" ht="12.75" customHeight="1" x14ac:dyDescent="0.25">
      <c r="M35" s="20"/>
    </row>
    <row r="36" spans="2:13" ht="12.75" customHeight="1" x14ac:dyDescent="0.25">
      <c r="C36" s="19"/>
      <c r="F36" s="19"/>
      <c r="M36" s="20"/>
    </row>
    <row r="37" spans="2:13" ht="12.75" customHeight="1" x14ac:dyDescent="0.2">
      <c r="M37" s="19"/>
    </row>
    <row r="38" spans="2:13" ht="12.75" customHeight="1" x14ac:dyDescent="0.2"/>
    <row r="39" spans="2:13" ht="12.75" customHeight="1" x14ac:dyDescent="0.2"/>
    <row r="40" spans="2:13" ht="12.75" customHeight="1" x14ac:dyDescent="0.2"/>
    <row r="41" spans="2:13" ht="12.75" customHeight="1" x14ac:dyDescent="0.2"/>
    <row r="42" spans="2:13" ht="12.75" customHeight="1" x14ac:dyDescent="0.2"/>
    <row r="43" spans="2:13" ht="12.75" customHeight="1" x14ac:dyDescent="0.2"/>
    <row r="44" spans="2:13" ht="12.75" customHeight="1" x14ac:dyDescent="0.2"/>
    <row r="45" spans="2:13" ht="12.75" customHeight="1" x14ac:dyDescent="0.2"/>
    <row r="46" spans="2:13" ht="12.75" customHeight="1" x14ac:dyDescent="0.2">
      <c r="B46" s="305"/>
    </row>
    <row r="47" spans="2:13" ht="12.75" customHeight="1" x14ac:dyDescent="0.2"/>
    <row r="48" spans="2:13" ht="12.75" customHeight="1" x14ac:dyDescent="0.2"/>
    <row r="49" ht="12.75" customHeight="1" x14ac:dyDescent="0.2"/>
    <row r="50" ht="12.75" customHeight="1" x14ac:dyDescent="0.2"/>
    <row r="51" ht="12.75" customHeight="1" x14ac:dyDescent="0.2"/>
  </sheetData>
  <mergeCells count="9">
    <mergeCell ref="B30:F30"/>
    <mergeCell ref="B31:F31"/>
    <mergeCell ref="B32:F32"/>
    <mergeCell ref="B33:F33"/>
    <mergeCell ref="B11:C11"/>
    <mergeCell ref="B12:C12"/>
    <mergeCell ref="E11:F11"/>
    <mergeCell ref="E12:F12"/>
    <mergeCell ref="B29:F29"/>
  </mergeCells>
  <conditionalFormatting sqref="B14:C16 B19:C27">
    <cfRule type="expression" dxfId="104" priority="4">
      <formula>MOD(ROW(),2)=0</formula>
    </cfRule>
  </conditionalFormatting>
  <conditionalFormatting sqref="E14:F16 E19:F20 E22:F27">
    <cfRule type="expression" dxfId="103" priority="1">
      <formula>MOD(ROW(),2)=0</formula>
    </cfRule>
  </conditionalFormatting>
  <pageMargins left="0" right="0" top="0" bottom="0" header="0" footer="0"/>
  <pageSetup paperSize="9" scale="75" orientation="landscape" r:id="rId1"/>
  <headerFooter alignWithMargins="0">
    <oddFooter>&amp;R_x000D_&amp;1#&amp;"Calibri"&amp;10&amp;K000000 Classificação: Público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ilha5"/>
  <dimension ref="A1:BT32"/>
  <sheetViews>
    <sheetView showGridLines="0" showRowColHeaders="0" zoomScale="70" zoomScaleNormal="70" workbookViewId="0"/>
  </sheetViews>
  <sheetFormatPr defaultColWidth="7" defaultRowHeight="15" x14ac:dyDescent="0.25"/>
  <cols>
    <col min="1" max="1" width="9.85546875" customWidth="1"/>
    <col min="2" max="2" width="30.140625" bestFit="1" customWidth="1"/>
    <col min="3" max="3" width="13.85546875" customWidth="1"/>
    <col min="4" max="4" width="14.28515625" customWidth="1"/>
    <col min="5" max="5" width="14" customWidth="1"/>
    <col min="6" max="6" width="11.28515625" bestFit="1" customWidth="1"/>
    <col min="7" max="7" width="12.28515625" customWidth="1"/>
    <col min="8" max="8" width="14" bestFit="1" customWidth="1"/>
    <col min="9" max="9" width="12.28515625" customWidth="1"/>
    <col min="10" max="10" width="13.5703125" customWidth="1"/>
    <col min="11" max="12" width="9.85546875" customWidth="1"/>
    <col min="13" max="13" width="11.85546875" bestFit="1" customWidth="1"/>
    <col min="14" max="14" width="10.7109375" bestFit="1" customWidth="1"/>
    <col min="15" max="15" width="14.7109375" customWidth="1"/>
    <col min="16" max="16" width="11.85546875" bestFit="1" customWidth="1"/>
    <col min="17" max="17" width="10.7109375" bestFit="1" customWidth="1"/>
    <col min="18" max="18" width="14" bestFit="1" customWidth="1"/>
    <col min="19" max="19" width="11.85546875" bestFit="1" customWidth="1"/>
    <col min="20" max="20" width="10.7109375" bestFit="1" customWidth="1"/>
    <col min="21" max="21" width="13" bestFit="1" customWidth="1"/>
    <col min="22" max="22" width="11.85546875" bestFit="1" customWidth="1"/>
    <col min="23" max="23" width="10.7109375" bestFit="1" customWidth="1"/>
    <col min="24" max="24" width="14" bestFit="1" customWidth="1"/>
    <col min="25" max="25" width="11.85546875" bestFit="1" customWidth="1"/>
    <col min="26" max="26" width="10.7109375" bestFit="1" customWidth="1"/>
    <col min="27" max="27" width="14.28515625" bestFit="1" customWidth="1"/>
    <col min="28" max="29" width="11.85546875" bestFit="1" customWidth="1"/>
    <col min="30" max="30" width="13.85546875" bestFit="1" customWidth="1"/>
    <col min="31" max="31" width="11.85546875" bestFit="1" customWidth="1"/>
    <col min="32" max="32" width="10.7109375" bestFit="1" customWidth="1"/>
    <col min="33" max="33" width="14" bestFit="1" customWidth="1"/>
    <col min="34" max="34" width="11.85546875" bestFit="1" customWidth="1"/>
    <col min="35" max="35" width="10.7109375" bestFit="1" customWidth="1"/>
    <col min="36" max="36" width="14" bestFit="1" customWidth="1"/>
    <col min="37" max="37" width="11.85546875" bestFit="1" customWidth="1"/>
    <col min="38" max="38" width="10.7109375" bestFit="1" customWidth="1"/>
    <col min="39" max="39" width="13.85546875" bestFit="1" customWidth="1"/>
    <col min="40" max="41" width="11.85546875" bestFit="1" customWidth="1"/>
    <col min="42" max="42" width="13.85546875" bestFit="1" customWidth="1"/>
    <col min="43" max="43" width="11.85546875" bestFit="1" customWidth="1"/>
    <col min="44" max="44" width="10.7109375" bestFit="1" customWidth="1"/>
    <col min="45" max="45" width="14" bestFit="1" customWidth="1"/>
    <col min="46" max="46" width="11.85546875" bestFit="1" customWidth="1"/>
    <col min="47" max="47" width="10.7109375" bestFit="1" customWidth="1"/>
    <col min="48" max="48" width="14" bestFit="1" customWidth="1"/>
    <col min="49" max="49" width="11.85546875" bestFit="1" customWidth="1"/>
    <col min="50" max="50" width="10.7109375" bestFit="1" customWidth="1"/>
    <col min="51" max="51" width="13.85546875" bestFit="1" customWidth="1"/>
    <col min="52" max="53" width="11.85546875" bestFit="1" customWidth="1"/>
    <col min="54" max="54" width="13.85546875" bestFit="1" customWidth="1"/>
    <col min="55" max="55" width="11.85546875" bestFit="1" customWidth="1"/>
    <col min="56" max="56" width="10.7109375" bestFit="1" customWidth="1"/>
    <col min="57" max="57" width="13.85546875" bestFit="1" customWidth="1"/>
    <col min="58" max="58" width="11.85546875" bestFit="1" customWidth="1"/>
    <col min="59" max="59" width="10.7109375" bestFit="1" customWidth="1"/>
    <col min="60" max="60" width="13.85546875" bestFit="1" customWidth="1"/>
    <col min="61" max="61" width="11.85546875" bestFit="1" customWidth="1"/>
    <col min="62" max="62" width="10.7109375" bestFit="1" customWidth="1"/>
    <col min="63" max="63" width="13.85546875" bestFit="1" customWidth="1"/>
    <col min="64" max="65" width="11.85546875" bestFit="1" customWidth="1"/>
    <col min="66" max="66" width="13.85546875" bestFit="1" customWidth="1"/>
    <col min="67" max="67" width="11.85546875" bestFit="1" customWidth="1"/>
    <col min="68" max="68" width="10.7109375" bestFit="1" customWidth="1"/>
    <col min="69" max="69" width="13.85546875" bestFit="1" customWidth="1"/>
    <col min="70" max="70" width="11.85546875" bestFit="1" customWidth="1"/>
    <col min="71" max="71" width="10.7109375" bestFit="1" customWidth="1"/>
    <col min="72" max="72" width="13.85546875" bestFit="1" customWidth="1"/>
  </cols>
  <sheetData>
    <row r="1" spans="2:72" ht="18.75" x14ac:dyDescent="0.25">
      <c r="B1" s="121"/>
      <c r="C1" s="14"/>
      <c r="D1" s="14"/>
      <c r="E1" s="14"/>
      <c r="F1" s="14"/>
      <c r="G1" s="14"/>
    </row>
    <row r="2" spans="2:72" ht="18.75" x14ac:dyDescent="0.25">
      <c r="B2" s="14"/>
      <c r="C2" s="14"/>
      <c r="D2" s="14"/>
      <c r="E2" s="14"/>
      <c r="F2" s="14"/>
      <c r="G2" s="14"/>
    </row>
    <row r="3" spans="2:72" ht="18.75" x14ac:dyDescent="0.25">
      <c r="B3" s="14"/>
      <c r="C3" s="14"/>
      <c r="D3" s="14"/>
      <c r="E3" s="14"/>
      <c r="F3" s="14"/>
      <c r="G3" s="14"/>
    </row>
    <row r="4" spans="2:72" ht="18.75" x14ac:dyDescent="0.25">
      <c r="B4" s="14"/>
      <c r="C4" s="14"/>
      <c r="D4" s="14"/>
      <c r="E4" s="14"/>
      <c r="F4" s="14"/>
      <c r="G4" s="14"/>
    </row>
    <row r="5" spans="2:72" ht="18.75" x14ac:dyDescent="0.25">
      <c r="B5" s="14"/>
      <c r="C5" s="14"/>
      <c r="D5" s="14"/>
      <c r="E5" s="14"/>
      <c r="F5" s="14"/>
      <c r="G5" s="14"/>
    </row>
    <row r="6" spans="2:72" ht="18.75" x14ac:dyDescent="0.25">
      <c r="B6" s="14"/>
      <c r="C6" s="14"/>
      <c r="D6" s="14"/>
      <c r="E6" s="14"/>
      <c r="F6" s="14"/>
      <c r="G6" s="14"/>
    </row>
    <row r="8" spans="2:72" ht="20.25" x14ac:dyDescent="0.25">
      <c r="B8" s="291" t="s">
        <v>539</v>
      </c>
      <c r="C8" s="292"/>
      <c r="D8" s="293"/>
    </row>
    <row r="10" spans="2:72" ht="15" customHeight="1" x14ac:dyDescent="0.25">
      <c r="B10" s="263" t="s">
        <v>130</v>
      </c>
      <c r="M10" s="377" t="s">
        <v>131</v>
      </c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77"/>
      <c r="AM10" s="377"/>
      <c r="AN10" s="377"/>
      <c r="AO10" s="377"/>
      <c r="AP10" s="377"/>
      <c r="AQ10" s="377"/>
      <c r="AR10" s="377"/>
      <c r="AS10" s="377"/>
      <c r="AT10" s="377"/>
      <c r="AU10" s="377"/>
      <c r="AV10" s="377"/>
      <c r="AW10" s="377"/>
      <c r="AX10" s="377"/>
      <c r="AY10" s="377"/>
      <c r="AZ10" s="377"/>
      <c r="BA10" s="377"/>
      <c r="BB10" s="377"/>
      <c r="BC10" s="377"/>
      <c r="BD10" s="377"/>
      <c r="BE10" s="377"/>
      <c r="BF10" s="377"/>
      <c r="BG10" s="377"/>
      <c r="BH10" s="377"/>
      <c r="BI10" s="377"/>
      <c r="BJ10" s="377"/>
      <c r="BK10" s="377"/>
      <c r="BL10" s="377"/>
      <c r="BM10" s="377"/>
      <c r="BN10" s="377"/>
      <c r="BO10" s="377"/>
      <c r="BP10" s="377"/>
      <c r="BQ10" s="377"/>
      <c r="BR10" s="377"/>
      <c r="BS10" s="377"/>
      <c r="BT10" s="377"/>
    </row>
    <row r="11" spans="2:72" x14ac:dyDescent="0.25">
      <c r="B11" s="380"/>
      <c r="C11" s="378" t="s">
        <v>563</v>
      </c>
      <c r="D11" s="378"/>
      <c r="E11" s="378"/>
      <c r="F11" s="378" t="s">
        <v>134</v>
      </c>
      <c r="G11" s="378"/>
      <c r="H11" s="378"/>
      <c r="I11" s="378" t="s">
        <v>132</v>
      </c>
      <c r="J11" s="378"/>
      <c r="M11" s="378" t="s">
        <v>548</v>
      </c>
      <c r="N11" s="378"/>
      <c r="O11" s="378"/>
      <c r="P11" s="378" t="s">
        <v>540</v>
      </c>
      <c r="Q11" s="378"/>
      <c r="R11" s="378"/>
      <c r="S11" s="378" t="s">
        <v>133</v>
      </c>
      <c r="T11" s="378"/>
      <c r="U11" s="378"/>
      <c r="V11" s="378" t="s">
        <v>134</v>
      </c>
      <c r="W11" s="378"/>
      <c r="X11" s="378"/>
      <c r="Y11" s="378" t="s">
        <v>135</v>
      </c>
      <c r="Z11" s="378"/>
      <c r="AA11" s="378"/>
      <c r="AB11" s="378">
        <v>2022</v>
      </c>
      <c r="AC11" s="378"/>
      <c r="AD11" s="378"/>
      <c r="AE11" s="378" t="s">
        <v>136</v>
      </c>
      <c r="AF11" s="378"/>
      <c r="AG11" s="378"/>
      <c r="AH11" s="378" t="s">
        <v>137</v>
      </c>
      <c r="AI11" s="378"/>
      <c r="AJ11" s="378"/>
      <c r="AK11" s="378" t="s">
        <v>138</v>
      </c>
      <c r="AL11" s="378"/>
      <c r="AM11" s="378"/>
      <c r="AN11" s="378">
        <v>2021</v>
      </c>
      <c r="AO11" s="378"/>
      <c r="AP11" s="378"/>
      <c r="AQ11" s="378" t="s">
        <v>139</v>
      </c>
      <c r="AR11" s="378"/>
      <c r="AS11" s="378"/>
      <c r="AT11" s="378" t="s">
        <v>140</v>
      </c>
      <c r="AU11" s="378"/>
      <c r="AV11" s="378"/>
      <c r="AW11" s="378" t="s">
        <v>141</v>
      </c>
      <c r="AX11" s="378"/>
      <c r="AY11" s="378"/>
      <c r="AZ11" s="378">
        <v>2020</v>
      </c>
      <c r="BA11" s="378"/>
      <c r="BB11" s="378"/>
      <c r="BC11" s="378" t="s">
        <v>142</v>
      </c>
      <c r="BD11" s="378"/>
      <c r="BE11" s="378"/>
      <c r="BF11" s="378" t="s">
        <v>143</v>
      </c>
      <c r="BG11" s="378"/>
      <c r="BH11" s="378"/>
      <c r="BI11" s="378" t="s">
        <v>144</v>
      </c>
      <c r="BJ11" s="378"/>
      <c r="BK11" s="378"/>
      <c r="BL11" s="378">
        <v>2019</v>
      </c>
      <c r="BM11" s="378"/>
      <c r="BN11" s="378"/>
      <c r="BO11" s="378" t="s">
        <v>145</v>
      </c>
      <c r="BP11" s="378"/>
      <c r="BQ11" s="378"/>
      <c r="BR11" s="378" t="s">
        <v>146</v>
      </c>
      <c r="BS11" s="378"/>
      <c r="BT11" s="378"/>
    </row>
    <row r="12" spans="2:72" ht="75" x14ac:dyDescent="0.25">
      <c r="B12" s="381"/>
      <c r="C12" s="162" t="s">
        <v>148</v>
      </c>
      <c r="D12" s="69" t="s">
        <v>149</v>
      </c>
      <c r="E12" s="69" t="s">
        <v>150</v>
      </c>
      <c r="F12" s="69" t="s">
        <v>148</v>
      </c>
      <c r="G12" s="69" t="s">
        <v>149</v>
      </c>
      <c r="H12" s="69" t="s">
        <v>150</v>
      </c>
      <c r="I12" s="69" t="s">
        <v>148</v>
      </c>
      <c r="J12" s="157" t="s">
        <v>149</v>
      </c>
      <c r="M12" s="162" t="s">
        <v>148</v>
      </c>
      <c r="N12" s="69" t="s">
        <v>149</v>
      </c>
      <c r="O12" s="355" t="s">
        <v>150</v>
      </c>
      <c r="P12" s="162" t="s">
        <v>148</v>
      </c>
      <c r="Q12" s="69" t="s">
        <v>149</v>
      </c>
      <c r="R12" s="69" t="s">
        <v>150</v>
      </c>
      <c r="S12" s="306" t="s">
        <v>148</v>
      </c>
      <c r="T12" s="69" t="s">
        <v>149</v>
      </c>
      <c r="U12" s="69" t="s">
        <v>150</v>
      </c>
      <c r="V12" s="157" t="s">
        <v>148</v>
      </c>
      <c r="W12" s="157" t="s">
        <v>149</v>
      </c>
      <c r="X12" s="157" t="s">
        <v>150</v>
      </c>
      <c r="Y12" s="157" t="s">
        <v>148</v>
      </c>
      <c r="Z12" s="157" t="s">
        <v>151</v>
      </c>
      <c r="AA12" s="157" t="s">
        <v>152</v>
      </c>
      <c r="AB12" s="157" t="s">
        <v>148</v>
      </c>
      <c r="AC12" s="157" t="s">
        <v>153</v>
      </c>
      <c r="AD12" s="157" t="s">
        <v>154</v>
      </c>
      <c r="AE12" s="157" t="s">
        <v>148</v>
      </c>
      <c r="AF12" s="157" t="s">
        <v>149</v>
      </c>
      <c r="AG12" s="157" t="s">
        <v>150</v>
      </c>
      <c r="AH12" s="157" t="s">
        <v>148</v>
      </c>
      <c r="AI12" s="157" t="s">
        <v>149</v>
      </c>
      <c r="AJ12" s="157" t="s">
        <v>150</v>
      </c>
      <c r="AK12" s="157" t="s">
        <v>148</v>
      </c>
      <c r="AL12" s="157" t="s">
        <v>153</v>
      </c>
      <c r="AM12" s="157" t="s">
        <v>154</v>
      </c>
      <c r="AN12" s="157" t="s">
        <v>148</v>
      </c>
      <c r="AO12" s="157" t="s">
        <v>153</v>
      </c>
      <c r="AP12" s="157" t="s">
        <v>154</v>
      </c>
      <c r="AQ12" s="157" t="s">
        <v>148</v>
      </c>
      <c r="AR12" s="157" t="s">
        <v>149</v>
      </c>
      <c r="AS12" s="157" t="s">
        <v>150</v>
      </c>
      <c r="AT12" s="157" t="s">
        <v>148</v>
      </c>
      <c r="AU12" s="157" t="s">
        <v>149</v>
      </c>
      <c r="AV12" s="157" t="s">
        <v>150</v>
      </c>
      <c r="AW12" s="157" t="s">
        <v>148</v>
      </c>
      <c r="AX12" s="157" t="s">
        <v>153</v>
      </c>
      <c r="AY12" s="157" t="s">
        <v>154</v>
      </c>
      <c r="AZ12" s="157" t="s">
        <v>148</v>
      </c>
      <c r="BA12" s="157" t="s">
        <v>153</v>
      </c>
      <c r="BB12" s="157" t="s">
        <v>154</v>
      </c>
      <c r="BC12" s="157" t="s">
        <v>148</v>
      </c>
      <c r="BD12" s="157" t="s">
        <v>153</v>
      </c>
      <c r="BE12" s="157" t="s">
        <v>154</v>
      </c>
      <c r="BF12" s="157" t="s">
        <v>148</v>
      </c>
      <c r="BG12" s="157" t="s">
        <v>153</v>
      </c>
      <c r="BH12" s="157" t="s">
        <v>154</v>
      </c>
      <c r="BI12" s="157" t="s">
        <v>148</v>
      </c>
      <c r="BJ12" s="157" t="s">
        <v>153</v>
      </c>
      <c r="BK12" s="157" t="s">
        <v>154</v>
      </c>
      <c r="BL12" s="157" t="s">
        <v>148</v>
      </c>
      <c r="BM12" s="157" t="s">
        <v>153</v>
      </c>
      <c r="BN12" s="157" t="s">
        <v>154</v>
      </c>
      <c r="BO12" s="157" t="s">
        <v>148</v>
      </c>
      <c r="BP12" s="157" t="s">
        <v>153</v>
      </c>
      <c r="BQ12" s="157" t="s">
        <v>154</v>
      </c>
      <c r="BR12" s="157" t="s">
        <v>148</v>
      </c>
      <c r="BS12" s="157" t="s">
        <v>153</v>
      </c>
      <c r="BT12" s="157" t="s">
        <v>154</v>
      </c>
    </row>
    <row r="13" spans="2:72" x14ac:dyDescent="0.25">
      <c r="B13" s="25" t="s">
        <v>155</v>
      </c>
      <c r="C13" s="28">
        <v>3150675</v>
      </c>
      <c r="D13" s="28">
        <v>3066719</v>
      </c>
      <c r="E13" s="113">
        <f>D13*1000/C13</f>
        <v>973.35301165623241</v>
      </c>
      <c r="F13" s="28">
        <v>2944206</v>
      </c>
      <c r="G13" s="28">
        <v>2531656</v>
      </c>
      <c r="H13" s="113">
        <f>G13*1000/F13</f>
        <v>859.87733195299518</v>
      </c>
      <c r="I13" s="189">
        <f>C13/F13-1</f>
        <v>7.0127226151974531E-2</v>
      </c>
      <c r="J13" s="189">
        <f>D13/G13-1</f>
        <v>0.21134901424206132</v>
      </c>
      <c r="M13" s="28">
        <v>3250170</v>
      </c>
      <c r="N13" s="28">
        <v>3126496</v>
      </c>
      <c r="O13" s="113">
        <f>N13*1000/M13</f>
        <v>961.94845192713001</v>
      </c>
      <c r="P13" s="28">
        <v>3289232</v>
      </c>
      <c r="Q13" s="28">
        <v>3169467</v>
      </c>
      <c r="R13" s="113">
        <v>963.58876479372691</v>
      </c>
      <c r="S13" s="28">
        <v>2874159</v>
      </c>
      <c r="T13" s="28">
        <v>2698430</v>
      </c>
      <c r="U13" s="113">
        <f>T13*1000/S13</f>
        <v>938.85898448902788</v>
      </c>
      <c r="V13" s="28">
        <v>2944206</v>
      </c>
      <c r="W13" s="28">
        <v>2531656</v>
      </c>
      <c r="X13" s="113">
        <v>859.88</v>
      </c>
      <c r="Y13" s="28">
        <v>2984825</v>
      </c>
      <c r="Z13" s="28">
        <v>2394792</v>
      </c>
      <c r="AA13" s="113">
        <v>802.32</v>
      </c>
      <c r="AB13" s="28">
        <v>11216803</v>
      </c>
      <c r="AC13" s="28">
        <v>10133141</v>
      </c>
      <c r="AD13" s="113">
        <v>903.39</v>
      </c>
      <c r="AE13" s="28">
        <v>2706219</v>
      </c>
      <c r="AF13" s="28">
        <v>2079671</v>
      </c>
      <c r="AG13" s="113">
        <v>768.48</v>
      </c>
      <c r="AH13" s="28">
        <v>2768128</v>
      </c>
      <c r="AI13" s="28">
        <v>2724030</v>
      </c>
      <c r="AJ13" s="113">
        <v>984.07</v>
      </c>
      <c r="AK13" s="28">
        <v>2841768</v>
      </c>
      <c r="AL13" s="28">
        <v>3115806</v>
      </c>
      <c r="AM13" s="113">
        <v>1096.43</v>
      </c>
      <c r="AN13" s="28">
        <v>11185772</v>
      </c>
      <c r="AO13" s="28">
        <v>11123482</v>
      </c>
      <c r="AP13" s="113">
        <v>994.43</v>
      </c>
      <c r="AQ13" s="28">
        <v>2757428</v>
      </c>
      <c r="AR13" s="28">
        <v>2857041</v>
      </c>
      <c r="AS13" s="113">
        <v>1036.1300000000001</v>
      </c>
      <c r="AT13" s="28">
        <v>2766585</v>
      </c>
      <c r="AU13" s="28">
        <v>2620985</v>
      </c>
      <c r="AV13" s="113">
        <v>947.37</v>
      </c>
      <c r="AW13" s="28">
        <v>2875007</v>
      </c>
      <c r="AX13" s="28">
        <v>2659585</v>
      </c>
      <c r="AY13" s="113">
        <v>925.07</v>
      </c>
      <c r="AZ13" s="28">
        <v>10980626</v>
      </c>
      <c r="BA13" s="28">
        <v>9875239</v>
      </c>
      <c r="BB13" s="113">
        <v>899.33297063391467</v>
      </c>
      <c r="BC13" s="28">
        <v>2652121</v>
      </c>
      <c r="BD13" s="28">
        <v>2408833</v>
      </c>
      <c r="BE13" s="113">
        <v>908.27</v>
      </c>
      <c r="BF13" s="28">
        <v>2657910</v>
      </c>
      <c r="BG13" s="28">
        <v>2307578</v>
      </c>
      <c r="BH13" s="113">
        <v>868.19</v>
      </c>
      <c r="BI13" s="28">
        <v>2785000</v>
      </c>
      <c r="BJ13" s="28">
        <v>2559054</v>
      </c>
      <c r="BK13" s="113">
        <v>918.87</v>
      </c>
      <c r="BL13" s="28">
        <v>10538342</v>
      </c>
      <c r="BM13" s="28">
        <v>9668228</v>
      </c>
      <c r="BN13" s="113">
        <v>917.43350139898666</v>
      </c>
      <c r="BO13" s="28">
        <v>2557935</v>
      </c>
      <c r="BP13" s="28">
        <v>2458671</v>
      </c>
      <c r="BQ13" s="113">
        <v>961.19</v>
      </c>
      <c r="BR13" s="28">
        <v>2547878</v>
      </c>
      <c r="BS13" s="28">
        <v>2206790</v>
      </c>
      <c r="BT13" s="113">
        <v>866.13</v>
      </c>
    </row>
    <row r="14" spans="2:72" x14ac:dyDescent="0.25">
      <c r="B14" s="26" t="s">
        <v>156</v>
      </c>
      <c r="C14" s="29">
        <v>4368250</v>
      </c>
      <c r="D14" s="29">
        <v>1326674</v>
      </c>
      <c r="E14" s="114">
        <f t="shared" ref="E14:E20" si="0">D14*1000/C14</f>
        <v>303.70835002575404</v>
      </c>
      <c r="F14" s="78">
        <v>4595472</v>
      </c>
      <c r="G14" s="78">
        <v>1475346</v>
      </c>
      <c r="H14" s="114">
        <f t="shared" ref="H14:H20" si="1">G14*1000/F14</f>
        <v>321.04340968675251</v>
      </c>
      <c r="I14" s="190">
        <f>C14/F14-1</f>
        <v>-4.9444757796370031E-2</v>
      </c>
      <c r="J14" s="190">
        <f t="shared" ref="J14:J26" si="2">D14/G14-1</f>
        <v>-0.10077093780035329</v>
      </c>
      <c r="M14" s="29">
        <v>4130114</v>
      </c>
      <c r="N14" s="29">
        <v>1298596</v>
      </c>
      <c r="O14" s="114">
        <f t="shared" ref="O14:O20" si="3">N14*1000/M14</f>
        <v>314.42134527037268</v>
      </c>
      <c r="P14" s="29">
        <v>4568119</v>
      </c>
      <c r="Q14" s="29">
        <v>1470323</v>
      </c>
      <c r="R14" s="114">
        <v>321.8661773040501</v>
      </c>
      <c r="S14" s="29">
        <v>4616519</v>
      </c>
      <c r="T14" s="29">
        <v>1517529</v>
      </c>
      <c r="U14" s="114">
        <f t="shared" ref="U14:U20" si="4">T14*1000/S14</f>
        <v>328.71715680147747</v>
      </c>
      <c r="V14" s="29">
        <v>4595472</v>
      </c>
      <c r="W14" s="29">
        <v>1475346</v>
      </c>
      <c r="X14" s="114">
        <v>321.04000000000002</v>
      </c>
      <c r="Y14" s="29">
        <v>4307674</v>
      </c>
      <c r="Z14" s="29">
        <v>1439741</v>
      </c>
      <c r="AA14" s="114">
        <v>334.23</v>
      </c>
      <c r="AB14" s="78">
        <v>18203746</v>
      </c>
      <c r="AC14" s="78">
        <v>5991208</v>
      </c>
      <c r="AD14" s="114">
        <v>329.12</v>
      </c>
      <c r="AE14" s="29">
        <v>4733637</v>
      </c>
      <c r="AF14" s="29">
        <v>1548322</v>
      </c>
      <c r="AG14" s="114">
        <v>327.08999999999997</v>
      </c>
      <c r="AH14" s="29">
        <v>4597875</v>
      </c>
      <c r="AI14" s="78">
        <v>1520467</v>
      </c>
      <c r="AJ14" s="114">
        <v>330.69</v>
      </c>
      <c r="AK14" s="29">
        <v>4158420</v>
      </c>
      <c r="AL14" s="78">
        <v>1393200</v>
      </c>
      <c r="AM14" s="114">
        <v>335.03</v>
      </c>
      <c r="AN14" s="78">
        <v>16360861</v>
      </c>
      <c r="AO14" s="78">
        <v>5274972</v>
      </c>
      <c r="AP14" s="114">
        <v>322.41000000000003</v>
      </c>
      <c r="AQ14" s="29">
        <v>4263189</v>
      </c>
      <c r="AR14" s="78">
        <v>1389273</v>
      </c>
      <c r="AS14" s="114">
        <v>325.88</v>
      </c>
      <c r="AT14" s="29">
        <v>4058047</v>
      </c>
      <c r="AU14" s="78">
        <v>1269674</v>
      </c>
      <c r="AV14" s="114">
        <v>312.88</v>
      </c>
      <c r="AW14" s="29">
        <v>3801715</v>
      </c>
      <c r="AX14" s="78">
        <v>1210151</v>
      </c>
      <c r="AY14" s="114">
        <v>318.32</v>
      </c>
      <c r="AZ14" s="78">
        <v>12731167</v>
      </c>
      <c r="BA14" s="78">
        <v>4170940</v>
      </c>
      <c r="BB14" s="114">
        <v>327.61647066604343</v>
      </c>
      <c r="BC14" s="29">
        <v>3282736</v>
      </c>
      <c r="BD14" s="78">
        <v>1062910</v>
      </c>
      <c r="BE14" s="114">
        <v>323.79000000000002</v>
      </c>
      <c r="BF14" s="78">
        <v>2982979</v>
      </c>
      <c r="BG14" s="78">
        <v>934197</v>
      </c>
      <c r="BH14" s="114">
        <v>313.18</v>
      </c>
      <c r="BI14" s="78">
        <v>3343944</v>
      </c>
      <c r="BJ14" s="78">
        <v>1047152</v>
      </c>
      <c r="BK14" s="114">
        <v>313.14999999999998</v>
      </c>
      <c r="BL14" s="78">
        <v>14873005</v>
      </c>
      <c r="BM14" s="78">
        <v>4759705</v>
      </c>
      <c r="BN14" s="114">
        <v>320.02308881090272</v>
      </c>
      <c r="BO14" s="78">
        <v>3972454</v>
      </c>
      <c r="BP14" s="78">
        <v>1239412</v>
      </c>
      <c r="BQ14" s="114">
        <v>312</v>
      </c>
      <c r="BR14" s="78">
        <v>3947233</v>
      </c>
      <c r="BS14" s="78">
        <v>1154786</v>
      </c>
      <c r="BT14" s="114">
        <v>292.56</v>
      </c>
    </row>
    <row r="15" spans="2:72" x14ac:dyDescent="0.25">
      <c r="B15" s="25" t="s">
        <v>157</v>
      </c>
      <c r="C15" s="28">
        <v>2447423</v>
      </c>
      <c r="D15" s="28">
        <v>1609719</v>
      </c>
      <c r="E15" s="113">
        <f t="shared" si="0"/>
        <v>657.71997729857083</v>
      </c>
      <c r="F15" s="56">
        <v>2424104</v>
      </c>
      <c r="G15" s="56">
        <v>1597321</v>
      </c>
      <c r="H15" s="113">
        <f t="shared" si="1"/>
        <v>658.93253754789396</v>
      </c>
      <c r="I15" s="189">
        <f t="shared" ref="I15:I24" si="5">C15/F15-1</f>
        <v>9.6196367812602102E-3</v>
      </c>
      <c r="J15" s="189">
        <f t="shared" si="2"/>
        <v>7.7617460735819321E-3</v>
      </c>
      <c r="M15" s="28">
        <v>2547884</v>
      </c>
      <c r="N15" s="28">
        <v>1674462</v>
      </c>
      <c r="O15" s="113">
        <f t="shared" si="3"/>
        <v>657.197109444543</v>
      </c>
      <c r="P15" s="28">
        <v>2441220</v>
      </c>
      <c r="Q15" s="28">
        <v>1706210</v>
      </c>
      <c r="R15" s="113">
        <v>698.9169349751354</v>
      </c>
      <c r="S15" s="28">
        <v>2260311</v>
      </c>
      <c r="T15" s="28">
        <v>1507626</v>
      </c>
      <c r="U15" s="113">
        <f t="shared" si="4"/>
        <v>666.99936424677844</v>
      </c>
      <c r="V15" s="28">
        <v>2424104</v>
      </c>
      <c r="W15" s="28">
        <v>1597321</v>
      </c>
      <c r="X15" s="113">
        <v>658.93</v>
      </c>
      <c r="Y15" s="28">
        <v>2343460</v>
      </c>
      <c r="Z15" s="28">
        <v>1503080</v>
      </c>
      <c r="AA15" s="113">
        <v>641.39</v>
      </c>
      <c r="AB15" s="56">
        <v>8956518</v>
      </c>
      <c r="AC15" s="56">
        <v>6154960</v>
      </c>
      <c r="AD15" s="113">
        <v>687.2</v>
      </c>
      <c r="AE15" s="28">
        <v>2124316</v>
      </c>
      <c r="AF15" s="28">
        <v>1339523</v>
      </c>
      <c r="AG15" s="113">
        <v>630.57000000000005</v>
      </c>
      <c r="AH15" s="28">
        <v>2307390</v>
      </c>
      <c r="AI15" s="56">
        <v>1655806</v>
      </c>
      <c r="AJ15" s="113">
        <v>717.61</v>
      </c>
      <c r="AK15" s="28">
        <v>2276420</v>
      </c>
      <c r="AL15" s="56">
        <v>1743177</v>
      </c>
      <c r="AM15" s="113">
        <v>765.75</v>
      </c>
      <c r="AN15" s="56">
        <v>8334095</v>
      </c>
      <c r="AO15" s="56">
        <v>5520318</v>
      </c>
      <c r="AP15" s="113">
        <v>662.38</v>
      </c>
      <c r="AQ15" s="28">
        <v>2017714</v>
      </c>
      <c r="AR15" s="56">
        <v>1363317</v>
      </c>
      <c r="AS15" s="113">
        <v>675.67</v>
      </c>
      <c r="AT15" s="28">
        <v>1992781</v>
      </c>
      <c r="AU15" s="56">
        <v>1263457</v>
      </c>
      <c r="AV15" s="113">
        <v>634.02</v>
      </c>
      <c r="AW15" s="28">
        <v>2105940</v>
      </c>
      <c r="AX15" s="56">
        <v>1320731</v>
      </c>
      <c r="AY15" s="113">
        <v>627.15</v>
      </c>
      <c r="AZ15" s="56">
        <v>8571078</v>
      </c>
      <c r="BA15" s="56">
        <v>4978987</v>
      </c>
      <c r="BB15" s="113">
        <v>580.90557570471299</v>
      </c>
      <c r="BC15" s="28">
        <v>1938028</v>
      </c>
      <c r="BD15" s="56">
        <v>1125855</v>
      </c>
      <c r="BE15" s="113">
        <v>580.92999999999995</v>
      </c>
      <c r="BF15" s="56">
        <v>2028857</v>
      </c>
      <c r="BG15" s="56">
        <v>1136848</v>
      </c>
      <c r="BH15" s="113">
        <v>560.34</v>
      </c>
      <c r="BI15" s="56">
        <v>2443717</v>
      </c>
      <c r="BJ15" s="56">
        <v>1440399</v>
      </c>
      <c r="BK15" s="113">
        <v>589.42999999999995</v>
      </c>
      <c r="BL15" s="56">
        <v>9335454</v>
      </c>
      <c r="BM15" s="56">
        <v>5438774</v>
      </c>
      <c r="BN15" s="113">
        <v>582.59341216827806</v>
      </c>
      <c r="BO15" s="56">
        <v>2290720</v>
      </c>
      <c r="BP15" s="56">
        <v>1336909</v>
      </c>
      <c r="BQ15" s="113">
        <v>583.62</v>
      </c>
      <c r="BR15" s="56">
        <v>2374683</v>
      </c>
      <c r="BS15" s="56">
        <v>1280841</v>
      </c>
      <c r="BT15" s="113">
        <v>539.37</v>
      </c>
    </row>
    <row r="16" spans="2:72" x14ac:dyDescent="0.25">
      <c r="B16" s="26" t="s">
        <v>158</v>
      </c>
      <c r="C16" s="29">
        <v>779848</v>
      </c>
      <c r="D16" s="29">
        <v>599558</v>
      </c>
      <c r="E16" s="114">
        <f t="shared" si="0"/>
        <v>768.81392271314405</v>
      </c>
      <c r="F16" s="78">
        <v>805325</v>
      </c>
      <c r="G16" s="78">
        <v>538750</v>
      </c>
      <c r="H16" s="114">
        <f t="shared" si="1"/>
        <v>668.9845714463105</v>
      </c>
      <c r="I16" s="190">
        <f t="shared" si="5"/>
        <v>-3.163567503802811E-2</v>
      </c>
      <c r="J16" s="190">
        <f t="shared" si="2"/>
        <v>0.1128686774941996</v>
      </c>
      <c r="M16" s="29">
        <v>623633</v>
      </c>
      <c r="N16" s="29">
        <v>533356</v>
      </c>
      <c r="O16" s="114">
        <f t="shared" si="3"/>
        <v>855.2401813245931</v>
      </c>
      <c r="P16" s="29">
        <v>846907</v>
      </c>
      <c r="Q16" s="29">
        <v>641985</v>
      </c>
      <c r="R16" s="114">
        <v>758.03482554755124</v>
      </c>
      <c r="S16" s="29">
        <v>884495</v>
      </c>
      <c r="T16" s="29">
        <v>664428</v>
      </c>
      <c r="U16" s="114">
        <f t="shared" si="4"/>
        <v>751.19474954635132</v>
      </c>
      <c r="V16" s="29">
        <v>805325</v>
      </c>
      <c r="W16" s="29">
        <v>538750</v>
      </c>
      <c r="X16" s="114">
        <v>668.98</v>
      </c>
      <c r="Y16" s="29">
        <v>526308</v>
      </c>
      <c r="Z16" s="29">
        <v>392758</v>
      </c>
      <c r="AA16" s="114">
        <v>746.25</v>
      </c>
      <c r="AB16" s="78">
        <v>3092932</v>
      </c>
      <c r="AC16" s="78">
        <v>2050022</v>
      </c>
      <c r="AD16" s="114">
        <v>662.81</v>
      </c>
      <c r="AE16" s="29">
        <v>928222</v>
      </c>
      <c r="AF16" s="29">
        <v>541205</v>
      </c>
      <c r="AG16" s="114">
        <v>583.05999999999995</v>
      </c>
      <c r="AH16" s="29">
        <v>844733</v>
      </c>
      <c r="AI16" s="78">
        <v>541861</v>
      </c>
      <c r="AJ16" s="114">
        <v>641.46</v>
      </c>
      <c r="AK16" s="29">
        <v>545936</v>
      </c>
      <c r="AL16" s="78">
        <v>489779</v>
      </c>
      <c r="AM16" s="114">
        <v>897.14</v>
      </c>
      <c r="AN16" s="78">
        <v>3975398</v>
      </c>
      <c r="AO16" s="78">
        <v>2565932</v>
      </c>
      <c r="AP16" s="114">
        <v>645.45000000000005</v>
      </c>
      <c r="AQ16" s="29">
        <v>1169780</v>
      </c>
      <c r="AR16" s="78">
        <v>764005</v>
      </c>
      <c r="AS16" s="114">
        <v>653.12</v>
      </c>
      <c r="AT16" s="29">
        <v>1074926</v>
      </c>
      <c r="AU16" s="78">
        <v>629219</v>
      </c>
      <c r="AV16" s="114">
        <v>585.36</v>
      </c>
      <c r="AW16" s="29">
        <v>844374</v>
      </c>
      <c r="AX16" s="78">
        <v>534815</v>
      </c>
      <c r="AY16" s="114">
        <v>633.39</v>
      </c>
      <c r="AZ16" s="78">
        <v>3766186</v>
      </c>
      <c r="BA16" s="78">
        <v>2189786</v>
      </c>
      <c r="BB16" s="114">
        <v>581.43331210938595</v>
      </c>
      <c r="BC16" s="29">
        <v>1139551</v>
      </c>
      <c r="BD16" s="78">
        <v>632227</v>
      </c>
      <c r="BE16" s="114">
        <v>554.79999999999995</v>
      </c>
      <c r="BF16" s="78">
        <v>896375</v>
      </c>
      <c r="BG16" s="78">
        <v>511810</v>
      </c>
      <c r="BH16" s="114">
        <v>570.98</v>
      </c>
      <c r="BI16" s="78">
        <v>775005</v>
      </c>
      <c r="BJ16" s="78">
        <v>472819</v>
      </c>
      <c r="BK16" s="114">
        <v>610.09</v>
      </c>
      <c r="BL16" s="78">
        <v>3795197</v>
      </c>
      <c r="BM16" s="78">
        <v>2058354</v>
      </c>
      <c r="BN16" s="114">
        <v>542.3576167455866</v>
      </c>
      <c r="BO16" s="78">
        <v>1054770</v>
      </c>
      <c r="BP16" s="78">
        <v>593821</v>
      </c>
      <c r="BQ16" s="114">
        <v>562.99</v>
      </c>
      <c r="BR16" s="78">
        <v>915078</v>
      </c>
      <c r="BS16" s="78">
        <v>460746</v>
      </c>
      <c r="BT16" s="114">
        <v>503.5</v>
      </c>
    </row>
    <row r="17" spans="1:72" x14ac:dyDescent="0.25">
      <c r="B17" s="25" t="s">
        <v>159</v>
      </c>
      <c r="C17" s="28">
        <v>261327</v>
      </c>
      <c r="D17" s="28">
        <v>232496</v>
      </c>
      <c r="E17" s="113">
        <f t="shared" si="0"/>
        <v>889.67462221660981</v>
      </c>
      <c r="F17" s="56">
        <v>239549</v>
      </c>
      <c r="G17" s="56">
        <v>186873</v>
      </c>
      <c r="H17" s="113">
        <f t="shared" si="1"/>
        <v>780.10344438924812</v>
      </c>
      <c r="I17" s="189">
        <f t="shared" si="5"/>
        <v>9.0912506418311168E-2</v>
      </c>
      <c r="J17" s="189">
        <f t="shared" si="2"/>
        <v>0.24413906770908578</v>
      </c>
      <c r="M17" s="28">
        <v>253258</v>
      </c>
      <c r="N17" s="28">
        <v>223285</v>
      </c>
      <c r="O17" s="113">
        <f t="shared" si="3"/>
        <v>881.65033286214054</v>
      </c>
      <c r="P17" s="28">
        <v>277868</v>
      </c>
      <c r="Q17" s="28">
        <v>243756</v>
      </c>
      <c r="R17" s="113">
        <v>877.23667352843802</v>
      </c>
      <c r="S17" s="28">
        <v>214818</v>
      </c>
      <c r="T17" s="28">
        <v>190624</v>
      </c>
      <c r="U17" s="113">
        <f t="shared" si="4"/>
        <v>887.37442858605891</v>
      </c>
      <c r="V17" s="28">
        <v>239549</v>
      </c>
      <c r="W17" s="28">
        <v>186873</v>
      </c>
      <c r="X17" s="113">
        <v>780.1</v>
      </c>
      <c r="Y17" s="28">
        <v>223654</v>
      </c>
      <c r="Z17" s="28">
        <v>164544</v>
      </c>
      <c r="AA17" s="113">
        <v>735.71</v>
      </c>
      <c r="AB17" s="56">
        <v>855672</v>
      </c>
      <c r="AC17" s="56">
        <v>660453</v>
      </c>
      <c r="AD17" s="113">
        <v>771.85</v>
      </c>
      <c r="AE17" s="28">
        <v>201625</v>
      </c>
      <c r="AF17" s="28">
        <v>144977</v>
      </c>
      <c r="AG17" s="113">
        <v>719.04</v>
      </c>
      <c r="AH17" s="28">
        <v>223437</v>
      </c>
      <c r="AI17" s="56">
        <v>176026</v>
      </c>
      <c r="AJ17" s="113">
        <v>787.81</v>
      </c>
      <c r="AK17" s="28">
        <v>204191</v>
      </c>
      <c r="AL17" s="56">
        <v>179314</v>
      </c>
      <c r="AM17" s="113">
        <v>878.17</v>
      </c>
      <c r="AN17" s="56">
        <v>729312</v>
      </c>
      <c r="AO17" s="56">
        <v>583205</v>
      </c>
      <c r="AP17" s="113">
        <v>799.66</v>
      </c>
      <c r="AQ17" s="28">
        <v>167875</v>
      </c>
      <c r="AR17" s="56">
        <v>140233</v>
      </c>
      <c r="AS17" s="113">
        <v>835.34</v>
      </c>
      <c r="AT17" s="28">
        <v>171645</v>
      </c>
      <c r="AU17" s="56">
        <v>128263</v>
      </c>
      <c r="AV17" s="113">
        <v>747.26</v>
      </c>
      <c r="AW17" s="28">
        <v>186717</v>
      </c>
      <c r="AX17" s="56">
        <v>137104</v>
      </c>
      <c r="AY17" s="113">
        <v>734.29</v>
      </c>
      <c r="AZ17" s="56">
        <v>713984</v>
      </c>
      <c r="BA17" s="56">
        <v>522319</v>
      </c>
      <c r="BB17" s="113">
        <v>731.5556090892793</v>
      </c>
      <c r="BC17" s="28">
        <v>149154</v>
      </c>
      <c r="BD17" s="56">
        <v>112958</v>
      </c>
      <c r="BE17" s="113">
        <v>757.32</v>
      </c>
      <c r="BF17" s="56">
        <v>169009</v>
      </c>
      <c r="BG17" s="56">
        <v>121381</v>
      </c>
      <c r="BH17" s="113">
        <v>718.19</v>
      </c>
      <c r="BI17" s="56">
        <v>217006</v>
      </c>
      <c r="BJ17" s="56">
        <v>157868</v>
      </c>
      <c r="BK17" s="113">
        <v>727.48</v>
      </c>
      <c r="BL17" s="56">
        <v>904879</v>
      </c>
      <c r="BM17" s="56">
        <v>653551</v>
      </c>
      <c r="BN17" s="113">
        <v>722.25236744360291</v>
      </c>
      <c r="BO17" s="56">
        <v>205123</v>
      </c>
      <c r="BP17" s="56">
        <v>158343</v>
      </c>
      <c r="BQ17" s="113">
        <v>771.94</v>
      </c>
      <c r="BR17" s="56">
        <v>231943</v>
      </c>
      <c r="BS17" s="56">
        <v>158145</v>
      </c>
      <c r="BT17" s="113">
        <v>681.83</v>
      </c>
    </row>
    <row r="18" spans="1:72" x14ac:dyDescent="0.25">
      <c r="B18" s="26" t="s">
        <v>160</v>
      </c>
      <c r="C18" s="29">
        <v>243995</v>
      </c>
      <c r="D18" s="29">
        <v>131933</v>
      </c>
      <c r="E18" s="114">
        <f t="shared" si="0"/>
        <v>540.72009672329352</v>
      </c>
      <c r="F18" s="29">
        <v>267837</v>
      </c>
      <c r="G18" s="29">
        <v>126351</v>
      </c>
      <c r="H18" s="114">
        <f t="shared" si="1"/>
        <v>471.74587528982181</v>
      </c>
      <c r="I18" s="190">
        <f t="shared" si="5"/>
        <v>-8.9016827398753717E-2</v>
      </c>
      <c r="J18" s="190">
        <f t="shared" si="2"/>
        <v>4.4178518571281522E-2</v>
      </c>
      <c r="M18" s="29">
        <v>248003</v>
      </c>
      <c r="N18" s="29">
        <v>130982</v>
      </c>
      <c r="O18" s="114">
        <f t="shared" si="3"/>
        <v>528.1468369334242</v>
      </c>
      <c r="P18" s="29">
        <v>254778</v>
      </c>
      <c r="Q18" s="29">
        <v>133719</v>
      </c>
      <c r="R18" s="114">
        <v>524.84515931516853</v>
      </c>
      <c r="S18" s="29">
        <v>263431</v>
      </c>
      <c r="T18" s="29">
        <v>120576</v>
      </c>
      <c r="U18" s="114">
        <f t="shared" si="4"/>
        <v>457.71378463430653</v>
      </c>
      <c r="V18" s="29">
        <v>267837</v>
      </c>
      <c r="W18" s="29">
        <v>126351</v>
      </c>
      <c r="X18" s="114">
        <v>471.75</v>
      </c>
      <c r="Y18" s="29">
        <v>269516</v>
      </c>
      <c r="Z18" s="29">
        <v>116991</v>
      </c>
      <c r="AA18" s="114">
        <v>434.08</v>
      </c>
      <c r="AB18" s="29">
        <v>1138039</v>
      </c>
      <c r="AC18" s="29">
        <v>534658</v>
      </c>
      <c r="AD18" s="114">
        <v>469.81</v>
      </c>
      <c r="AE18" s="29">
        <v>287126</v>
      </c>
      <c r="AF18" s="29">
        <v>120307</v>
      </c>
      <c r="AG18" s="114">
        <v>419</v>
      </c>
      <c r="AH18" s="29">
        <v>285585</v>
      </c>
      <c r="AI18" s="29">
        <v>136207</v>
      </c>
      <c r="AJ18" s="114">
        <v>476.94</v>
      </c>
      <c r="AK18" s="29">
        <v>285011</v>
      </c>
      <c r="AL18" s="29">
        <v>167372</v>
      </c>
      <c r="AM18" s="114">
        <v>587.25</v>
      </c>
      <c r="AN18" s="29">
        <v>1225733</v>
      </c>
      <c r="AO18" s="29">
        <v>717978</v>
      </c>
      <c r="AP18" s="114">
        <v>585.75</v>
      </c>
      <c r="AQ18" s="29">
        <v>257999</v>
      </c>
      <c r="AR18" s="29">
        <v>174829</v>
      </c>
      <c r="AS18" s="114">
        <v>677.63</v>
      </c>
      <c r="AT18" s="29">
        <v>314679</v>
      </c>
      <c r="AU18" s="29">
        <v>149098</v>
      </c>
      <c r="AV18" s="114">
        <v>473.81</v>
      </c>
      <c r="AW18" s="29">
        <v>355356</v>
      </c>
      <c r="AX18" s="29">
        <v>211955</v>
      </c>
      <c r="AY18" s="114">
        <v>596.46</v>
      </c>
      <c r="AZ18" s="29">
        <v>1242760</v>
      </c>
      <c r="BA18" s="29">
        <v>550376</v>
      </c>
      <c r="BB18" s="114">
        <v>442.86587917216519</v>
      </c>
      <c r="BC18" s="29">
        <v>327039</v>
      </c>
      <c r="BD18" s="29">
        <v>145863</v>
      </c>
      <c r="BE18" s="114">
        <v>446.01</v>
      </c>
      <c r="BF18" s="29">
        <v>325162</v>
      </c>
      <c r="BG18" s="29">
        <v>142679</v>
      </c>
      <c r="BH18" s="114">
        <v>438.79</v>
      </c>
      <c r="BI18" s="29">
        <v>339494</v>
      </c>
      <c r="BJ18" s="29">
        <v>152776</v>
      </c>
      <c r="BK18" s="114">
        <v>450.01</v>
      </c>
      <c r="BL18" s="29">
        <v>1357293</v>
      </c>
      <c r="BM18" s="29">
        <v>614318</v>
      </c>
      <c r="BN18" s="114">
        <v>452.60529598251816</v>
      </c>
      <c r="BO18" s="29">
        <v>348476</v>
      </c>
      <c r="BP18" s="29">
        <v>167642</v>
      </c>
      <c r="BQ18" s="114">
        <v>481.07</v>
      </c>
      <c r="BR18" s="29">
        <v>333969</v>
      </c>
      <c r="BS18" s="29">
        <v>140508</v>
      </c>
      <c r="BT18" s="114">
        <v>420.72</v>
      </c>
    </row>
    <row r="19" spans="1:72" x14ac:dyDescent="0.25">
      <c r="B19" s="25" t="s">
        <v>161</v>
      </c>
      <c r="C19" s="28">
        <v>192990</v>
      </c>
      <c r="D19" s="28">
        <v>174633</v>
      </c>
      <c r="E19" s="113">
        <f t="shared" si="0"/>
        <v>904.88108192134302</v>
      </c>
      <c r="F19" s="28">
        <v>252158</v>
      </c>
      <c r="G19" s="28">
        <v>167976</v>
      </c>
      <c r="H19" s="113">
        <f t="shared" si="1"/>
        <v>666.15376073731545</v>
      </c>
      <c r="I19" s="189">
        <f t="shared" si="5"/>
        <v>-0.23464653114317213</v>
      </c>
      <c r="J19" s="189">
        <f t="shared" si="2"/>
        <v>3.9630661523074817E-2</v>
      </c>
      <c r="M19" s="28">
        <v>219441</v>
      </c>
      <c r="N19" s="28">
        <v>185343</v>
      </c>
      <c r="O19" s="113">
        <f t="shared" si="3"/>
        <v>844.61426989486927</v>
      </c>
      <c r="P19" s="28">
        <v>265227</v>
      </c>
      <c r="Q19" s="28">
        <v>208204</v>
      </c>
      <c r="R19" s="113">
        <v>785.00303513594019</v>
      </c>
      <c r="S19" s="28">
        <v>255403</v>
      </c>
      <c r="T19" s="28">
        <v>203362</v>
      </c>
      <c r="U19" s="113">
        <f t="shared" si="4"/>
        <v>796.23966828893947</v>
      </c>
      <c r="V19" s="28">
        <v>252158</v>
      </c>
      <c r="W19" s="28">
        <v>167976</v>
      </c>
      <c r="X19" s="113">
        <v>666.15</v>
      </c>
      <c r="Y19" s="28">
        <v>272353</v>
      </c>
      <c r="Z19" s="28">
        <v>164251</v>
      </c>
      <c r="AA19" s="113">
        <v>603.08000000000004</v>
      </c>
      <c r="AB19" s="28">
        <v>1400256</v>
      </c>
      <c r="AC19" s="28">
        <v>840675</v>
      </c>
      <c r="AD19" s="113">
        <v>600.37</v>
      </c>
      <c r="AE19" s="28">
        <v>359448</v>
      </c>
      <c r="AF19" s="28">
        <v>192393</v>
      </c>
      <c r="AG19" s="113">
        <v>535.25</v>
      </c>
      <c r="AH19" s="28">
        <v>351948</v>
      </c>
      <c r="AI19" s="28">
        <v>220138</v>
      </c>
      <c r="AJ19" s="113">
        <v>625.48</v>
      </c>
      <c r="AK19" s="28">
        <v>339958</v>
      </c>
      <c r="AL19" s="28">
        <v>246977</v>
      </c>
      <c r="AM19" s="113">
        <v>726.49</v>
      </c>
      <c r="AN19" s="28">
        <v>1418306</v>
      </c>
      <c r="AO19" s="28">
        <v>879347</v>
      </c>
      <c r="AP19" s="113">
        <v>620</v>
      </c>
      <c r="AQ19" s="28">
        <v>362058</v>
      </c>
      <c r="AR19" s="28">
        <v>238744</v>
      </c>
      <c r="AS19" s="113">
        <v>659.41</v>
      </c>
      <c r="AT19" s="28">
        <v>352752</v>
      </c>
      <c r="AU19" s="28">
        <v>197094</v>
      </c>
      <c r="AV19" s="113">
        <v>558.73</v>
      </c>
      <c r="AW19" s="28">
        <v>347115</v>
      </c>
      <c r="AX19" s="28">
        <v>194880</v>
      </c>
      <c r="AY19" s="113">
        <v>561.42999999999995</v>
      </c>
      <c r="AZ19" s="28">
        <v>1362402</v>
      </c>
      <c r="BA19" s="28">
        <v>721488</v>
      </c>
      <c r="BB19" s="113">
        <v>529.57056727749955</v>
      </c>
      <c r="BC19" s="28">
        <v>347469</v>
      </c>
      <c r="BD19" s="28">
        <v>186818</v>
      </c>
      <c r="BE19" s="113">
        <v>537.65</v>
      </c>
      <c r="BF19" s="28">
        <v>339650</v>
      </c>
      <c r="BG19" s="28">
        <v>177860</v>
      </c>
      <c r="BH19" s="113">
        <v>523.66</v>
      </c>
      <c r="BI19" s="28">
        <v>335474</v>
      </c>
      <c r="BJ19" s="28">
        <v>178663</v>
      </c>
      <c r="BK19" s="113">
        <v>532.57000000000005</v>
      </c>
      <c r="BL19" s="28">
        <v>1371992</v>
      </c>
      <c r="BM19" s="28">
        <v>724904</v>
      </c>
      <c r="BN19" s="113">
        <v>528.35876594032618</v>
      </c>
      <c r="BO19" s="28">
        <v>315588</v>
      </c>
      <c r="BP19" s="28">
        <v>195474</v>
      </c>
      <c r="BQ19" s="113">
        <v>619.4</v>
      </c>
      <c r="BR19" s="28">
        <v>339954</v>
      </c>
      <c r="BS19" s="28">
        <v>165901</v>
      </c>
      <c r="BT19" s="113">
        <v>488.01</v>
      </c>
    </row>
    <row r="20" spans="1:72" ht="15.75" thickBot="1" x14ac:dyDescent="0.3">
      <c r="B20" s="106" t="s">
        <v>162</v>
      </c>
      <c r="C20" s="103">
        <v>11444508</v>
      </c>
      <c r="D20" s="103">
        <v>7141732</v>
      </c>
      <c r="E20" s="115">
        <f t="shared" si="0"/>
        <v>624.03136945686083</v>
      </c>
      <c r="F20" s="103">
        <v>11528651</v>
      </c>
      <c r="G20" s="103">
        <v>6624273</v>
      </c>
      <c r="H20" s="115">
        <f t="shared" si="1"/>
        <v>574.59220510708496</v>
      </c>
      <c r="I20" s="191">
        <f>C20/F20-1</f>
        <v>-7.2985989427557518E-3</v>
      </c>
      <c r="J20" s="191">
        <f t="shared" si="2"/>
        <v>7.8115590948621749E-2</v>
      </c>
      <c r="M20" s="103">
        <v>11272503</v>
      </c>
      <c r="N20" s="103">
        <v>7172520</v>
      </c>
      <c r="O20" s="115">
        <f t="shared" si="3"/>
        <v>636.28459446850445</v>
      </c>
      <c r="P20" s="103">
        <v>11943351</v>
      </c>
      <c r="Q20" s="103">
        <v>7573664</v>
      </c>
      <c r="R20" s="115">
        <v>634.13224646918604</v>
      </c>
      <c r="S20" s="103">
        <v>11369136</v>
      </c>
      <c r="T20" s="103">
        <v>6902575</v>
      </c>
      <c r="U20" s="115">
        <f t="shared" si="4"/>
        <v>607.13276716893881</v>
      </c>
      <c r="V20" s="103">
        <v>11528651</v>
      </c>
      <c r="W20" s="103">
        <v>6624273</v>
      </c>
      <c r="X20" s="115">
        <v>574.59</v>
      </c>
      <c r="Y20" s="103">
        <v>10927790</v>
      </c>
      <c r="Z20" s="103">
        <v>6176157</v>
      </c>
      <c r="AA20" s="115">
        <v>565.17999999999995</v>
      </c>
      <c r="AB20" s="103">
        <v>44863966</v>
      </c>
      <c r="AC20" s="103">
        <v>26365117</v>
      </c>
      <c r="AD20" s="115">
        <v>587.66999999999996</v>
      </c>
      <c r="AE20" s="103">
        <v>11340593</v>
      </c>
      <c r="AF20" s="103">
        <v>5966398</v>
      </c>
      <c r="AG20" s="115">
        <v>526.11</v>
      </c>
      <c r="AH20" s="103">
        <v>11379096</v>
      </c>
      <c r="AI20" s="103">
        <v>6974535</v>
      </c>
      <c r="AJ20" s="115">
        <v>612.92999999999995</v>
      </c>
      <c r="AK20" s="103">
        <v>10651704</v>
      </c>
      <c r="AL20" s="103">
        <v>7335625</v>
      </c>
      <c r="AM20" s="115">
        <v>688.68</v>
      </c>
      <c r="AN20" s="103">
        <v>43229477</v>
      </c>
      <c r="AO20" s="103">
        <v>26665234</v>
      </c>
      <c r="AP20" s="115">
        <v>616.83000000000004</v>
      </c>
      <c r="AQ20" s="103">
        <v>10996043</v>
      </c>
      <c r="AR20" s="103">
        <v>6927442</v>
      </c>
      <c r="AS20" s="115">
        <v>629.99</v>
      </c>
      <c r="AT20" s="103">
        <v>10731415</v>
      </c>
      <c r="AU20" s="103">
        <v>6257790</v>
      </c>
      <c r="AV20" s="115">
        <v>583.13</v>
      </c>
      <c r="AW20" s="103">
        <v>10516224</v>
      </c>
      <c r="AX20" s="103">
        <v>6269221</v>
      </c>
      <c r="AY20" s="115">
        <v>596.15</v>
      </c>
      <c r="AZ20" s="103">
        <v>39368203</v>
      </c>
      <c r="BA20" s="103">
        <v>23009135</v>
      </c>
      <c r="BB20" s="115">
        <v>584.45987488938727</v>
      </c>
      <c r="BC20" s="103">
        <v>9836098</v>
      </c>
      <c r="BD20" s="103">
        <v>5675464</v>
      </c>
      <c r="BE20" s="115">
        <v>577</v>
      </c>
      <c r="BF20" s="103">
        <v>9399942</v>
      </c>
      <c r="BG20" s="103">
        <v>5332353</v>
      </c>
      <c r="BH20" s="115">
        <v>567.28</v>
      </c>
      <c r="BI20" s="103">
        <v>10239640</v>
      </c>
      <c r="BJ20" s="103">
        <v>6008731</v>
      </c>
      <c r="BK20" s="115">
        <v>586.80999999999995</v>
      </c>
      <c r="BL20" s="103">
        <v>42176162</v>
      </c>
      <c r="BM20" s="103">
        <v>23917834</v>
      </c>
      <c r="BN20" s="115">
        <v>567.09365826127089</v>
      </c>
      <c r="BO20" s="103">
        <v>10745066</v>
      </c>
      <c r="BP20" s="103">
        <v>6150272</v>
      </c>
      <c r="BQ20" s="115">
        <v>572.38</v>
      </c>
      <c r="BR20" s="103">
        <v>10690738</v>
      </c>
      <c r="BS20" s="103">
        <v>5567717</v>
      </c>
      <c r="BT20" s="115">
        <v>520.79999999999995</v>
      </c>
    </row>
    <row r="21" spans="1:72" ht="15.75" thickTop="1" x14ac:dyDescent="0.25">
      <c r="B21" s="25" t="s">
        <v>163</v>
      </c>
      <c r="C21" s="28">
        <v>7710</v>
      </c>
      <c r="D21" s="30" t="s">
        <v>5</v>
      </c>
      <c r="E21" s="113" t="s">
        <v>5</v>
      </c>
      <c r="F21" s="28">
        <v>7370</v>
      </c>
      <c r="G21" s="28" t="s">
        <v>5</v>
      </c>
      <c r="H21" s="113">
        <v>0</v>
      </c>
      <c r="I21" s="189">
        <f>C21/F21-1</f>
        <v>4.6132971506105847E-2</v>
      </c>
      <c r="J21" s="189" t="s">
        <v>5</v>
      </c>
      <c r="M21" s="28">
        <v>8188</v>
      </c>
      <c r="N21" s="30" t="s">
        <v>5</v>
      </c>
      <c r="O21" s="113" t="s">
        <v>5</v>
      </c>
      <c r="P21" s="28">
        <v>8005</v>
      </c>
      <c r="Q21" s="30">
        <v>0</v>
      </c>
      <c r="R21" s="113" t="s">
        <v>5</v>
      </c>
      <c r="S21" s="28">
        <v>6783</v>
      </c>
      <c r="T21" s="30" t="s">
        <v>5</v>
      </c>
      <c r="U21" s="113" t="s">
        <v>5</v>
      </c>
      <c r="V21" s="28">
        <v>7370</v>
      </c>
      <c r="W21" s="28" t="s">
        <v>5</v>
      </c>
      <c r="X21" s="113" t="s">
        <v>5</v>
      </c>
      <c r="Y21" s="28">
        <v>7545</v>
      </c>
      <c r="Z21" s="28" t="s">
        <v>5</v>
      </c>
      <c r="AA21" s="113" t="s">
        <v>5</v>
      </c>
      <c r="AB21" s="28">
        <v>30942</v>
      </c>
      <c r="AC21" s="28"/>
      <c r="AD21" s="113" t="s">
        <v>5</v>
      </c>
      <c r="AE21" s="28">
        <v>6761</v>
      </c>
      <c r="AF21" s="28" t="s">
        <v>5</v>
      </c>
      <c r="AG21" s="113" t="s">
        <v>5</v>
      </c>
      <c r="AH21" s="28">
        <v>6857</v>
      </c>
      <c r="AI21" s="28" t="s">
        <v>5</v>
      </c>
      <c r="AJ21" s="113" t="s">
        <v>5</v>
      </c>
      <c r="AK21" s="28">
        <v>9854</v>
      </c>
      <c r="AL21" s="28" t="s">
        <v>5</v>
      </c>
      <c r="AM21" s="113" t="s">
        <v>5</v>
      </c>
      <c r="AN21" s="28">
        <v>33074</v>
      </c>
      <c r="AO21" s="28" t="s">
        <v>5</v>
      </c>
      <c r="AP21" s="113" t="s">
        <v>5</v>
      </c>
      <c r="AQ21" s="28">
        <v>7835</v>
      </c>
      <c r="AR21" s="28" t="s">
        <v>5</v>
      </c>
      <c r="AS21" s="113" t="s">
        <v>5</v>
      </c>
      <c r="AT21" s="28">
        <v>8272</v>
      </c>
      <c r="AU21" s="28" t="s">
        <v>5</v>
      </c>
      <c r="AV21" s="113" t="s">
        <v>5</v>
      </c>
      <c r="AW21" s="28">
        <v>8560</v>
      </c>
      <c r="AX21" s="28" t="s">
        <v>5</v>
      </c>
      <c r="AY21" s="113" t="s">
        <v>5</v>
      </c>
      <c r="AZ21" s="28">
        <v>34089</v>
      </c>
      <c r="BA21" s="28">
        <v>0</v>
      </c>
      <c r="BB21" s="113" t="s">
        <v>5</v>
      </c>
      <c r="BC21" s="28">
        <v>7559</v>
      </c>
      <c r="BD21" s="28" t="s">
        <v>5</v>
      </c>
      <c r="BE21" s="113" t="s">
        <v>5</v>
      </c>
      <c r="BF21" s="28">
        <v>7970</v>
      </c>
      <c r="BG21" s="28" t="s">
        <v>5</v>
      </c>
      <c r="BH21" s="113" t="s">
        <v>5</v>
      </c>
      <c r="BI21" s="28">
        <v>9406</v>
      </c>
      <c r="BJ21" s="28" t="s">
        <v>5</v>
      </c>
      <c r="BK21" s="113" t="s">
        <v>5</v>
      </c>
      <c r="BL21" s="28">
        <v>37827</v>
      </c>
      <c r="BM21" s="28"/>
      <c r="BN21" s="113" t="s">
        <v>5</v>
      </c>
      <c r="BO21" s="28">
        <v>11012</v>
      </c>
      <c r="BP21" s="28" t="s">
        <v>5</v>
      </c>
      <c r="BQ21" s="113" t="s">
        <v>5</v>
      </c>
      <c r="BR21" s="28">
        <v>7247</v>
      </c>
      <c r="BS21" s="28" t="s">
        <v>5</v>
      </c>
      <c r="BT21" s="113" t="s">
        <v>5</v>
      </c>
    </row>
    <row r="22" spans="1:72" x14ac:dyDescent="0.25">
      <c r="B22" s="26" t="s">
        <v>164</v>
      </c>
      <c r="C22" s="66" t="s">
        <v>5</v>
      </c>
      <c r="D22" s="67">
        <v>68410</v>
      </c>
      <c r="E22" s="116" t="s">
        <v>5</v>
      </c>
      <c r="F22" s="67" t="s">
        <v>5</v>
      </c>
      <c r="G22" s="67">
        <v>-47525</v>
      </c>
      <c r="H22" s="116" t="s">
        <v>5</v>
      </c>
      <c r="I22" s="192" t="s">
        <v>5</v>
      </c>
      <c r="J22" s="192" t="s">
        <v>5</v>
      </c>
      <c r="M22" s="66" t="s">
        <v>5</v>
      </c>
      <c r="N22" s="67">
        <v>-155322</v>
      </c>
      <c r="O22" s="116" t="s">
        <v>5</v>
      </c>
      <c r="P22" s="66">
        <v>0</v>
      </c>
      <c r="Q22" s="67">
        <v>108855</v>
      </c>
      <c r="R22" s="116" t="s">
        <v>5</v>
      </c>
      <c r="S22" s="66" t="s">
        <v>5</v>
      </c>
      <c r="T22" s="67">
        <v>91649</v>
      </c>
      <c r="U22" s="116" t="s">
        <v>5</v>
      </c>
      <c r="V22" s="66" t="s">
        <v>5</v>
      </c>
      <c r="W22" s="67">
        <v>-47525</v>
      </c>
      <c r="X22" s="116" t="s">
        <v>5</v>
      </c>
      <c r="Y22" s="66" t="s">
        <v>5</v>
      </c>
      <c r="Z22" s="67">
        <v>13439</v>
      </c>
      <c r="AA22" s="116" t="s">
        <v>5</v>
      </c>
      <c r="AB22" s="67"/>
      <c r="AC22" s="67">
        <v>-188662</v>
      </c>
      <c r="AD22" s="116" t="s">
        <v>5</v>
      </c>
      <c r="AE22" s="66" t="s">
        <v>5</v>
      </c>
      <c r="AF22" s="67">
        <v>61143</v>
      </c>
      <c r="AG22" s="116" t="s">
        <v>5</v>
      </c>
      <c r="AH22" s="66" t="s">
        <v>5</v>
      </c>
      <c r="AI22" s="67">
        <v>-26837</v>
      </c>
      <c r="AJ22" s="116" t="s">
        <v>5</v>
      </c>
      <c r="AK22" s="66" t="s">
        <v>5</v>
      </c>
      <c r="AL22" s="67">
        <v>77884</v>
      </c>
      <c r="AM22" s="116" t="s">
        <v>5</v>
      </c>
      <c r="AN22" s="67" t="s">
        <v>5</v>
      </c>
      <c r="AO22" s="67">
        <v>-14491</v>
      </c>
      <c r="AP22" s="116" t="s">
        <v>5</v>
      </c>
      <c r="AQ22" s="66" t="s">
        <v>5</v>
      </c>
      <c r="AR22" s="67">
        <v>-14988</v>
      </c>
      <c r="AS22" s="116" t="s">
        <v>5</v>
      </c>
      <c r="AT22" s="66" t="s">
        <v>5</v>
      </c>
      <c r="AU22" s="67">
        <v>-55728</v>
      </c>
      <c r="AV22" s="116" t="s">
        <v>5</v>
      </c>
      <c r="AW22" s="66" t="s">
        <v>5</v>
      </c>
      <c r="AX22" s="67">
        <v>5794</v>
      </c>
      <c r="AY22" s="116" t="s">
        <v>5</v>
      </c>
      <c r="AZ22" s="67" t="s">
        <v>5</v>
      </c>
      <c r="BA22" s="67">
        <v>8867</v>
      </c>
      <c r="BB22" s="116" t="s">
        <v>5</v>
      </c>
      <c r="BC22" s="66" t="s">
        <v>5</v>
      </c>
      <c r="BD22" s="67">
        <v>109738</v>
      </c>
      <c r="BE22" s="116" t="s">
        <v>5</v>
      </c>
      <c r="BF22" s="67" t="s">
        <v>5</v>
      </c>
      <c r="BG22" s="67">
        <v>-104793</v>
      </c>
      <c r="BH22" s="116" t="s">
        <v>5</v>
      </c>
      <c r="BI22" s="67" t="s">
        <v>5</v>
      </c>
      <c r="BJ22" s="67">
        <v>-152833</v>
      </c>
      <c r="BK22" s="116" t="s">
        <v>5</v>
      </c>
      <c r="BL22" s="67" t="s">
        <v>5</v>
      </c>
      <c r="BM22" s="67">
        <v>133930</v>
      </c>
      <c r="BN22" s="116" t="s">
        <v>5</v>
      </c>
      <c r="BO22" s="67" t="s">
        <v>5</v>
      </c>
      <c r="BP22" s="67">
        <v>-2403</v>
      </c>
      <c r="BQ22" s="116" t="s">
        <v>5</v>
      </c>
      <c r="BR22" s="67" t="s">
        <v>5</v>
      </c>
      <c r="BS22" s="67">
        <v>80721</v>
      </c>
      <c r="BT22" s="116" t="s">
        <v>5</v>
      </c>
    </row>
    <row r="23" spans="1:72" x14ac:dyDescent="0.25">
      <c r="B23" s="27" t="s">
        <v>165</v>
      </c>
      <c r="C23" s="30">
        <v>11452218</v>
      </c>
      <c r="D23" s="30">
        <v>7210142</v>
      </c>
      <c r="E23" s="102">
        <f>E20</f>
        <v>624.03136945686083</v>
      </c>
      <c r="F23" s="30">
        <v>11536021</v>
      </c>
      <c r="G23" s="30">
        <v>6576748</v>
      </c>
      <c r="H23" s="102">
        <f>H20</f>
        <v>574.59220510708496</v>
      </c>
      <c r="I23" s="193">
        <f t="shared" si="5"/>
        <v>-7.2644631974924101E-3</v>
      </c>
      <c r="J23" s="193">
        <f t="shared" si="2"/>
        <v>9.6308084177773035E-2</v>
      </c>
      <c r="M23" s="30">
        <v>11280691</v>
      </c>
      <c r="N23" s="30">
        <v>7017198</v>
      </c>
      <c r="O23" s="102">
        <f>O20</f>
        <v>636.28459446850445</v>
      </c>
      <c r="P23" s="30">
        <v>11951356</v>
      </c>
      <c r="Q23" s="30">
        <v>7682519</v>
      </c>
      <c r="R23" s="102">
        <v>634.13224646918604</v>
      </c>
      <c r="S23" s="30">
        <v>11375919</v>
      </c>
      <c r="T23" s="30">
        <v>6994224</v>
      </c>
      <c r="U23" s="102">
        <f>U20</f>
        <v>607.13276716893881</v>
      </c>
      <c r="V23" s="30">
        <v>11536021</v>
      </c>
      <c r="W23" s="30">
        <v>6576748</v>
      </c>
      <c r="X23" s="102">
        <v>574.59</v>
      </c>
      <c r="Y23" s="30">
        <v>10935335</v>
      </c>
      <c r="Z23" s="30">
        <v>6189596</v>
      </c>
      <c r="AA23" s="102">
        <v>565.17999999999995</v>
      </c>
      <c r="AB23" s="30">
        <v>44894908</v>
      </c>
      <c r="AC23" s="30">
        <v>26176455</v>
      </c>
      <c r="AD23" s="102">
        <v>587.66999999999996</v>
      </c>
      <c r="AE23" s="30">
        <v>11347354</v>
      </c>
      <c r="AF23" s="30">
        <v>6027541</v>
      </c>
      <c r="AG23" s="102">
        <v>526.11</v>
      </c>
      <c r="AH23" s="30">
        <v>11385953</v>
      </c>
      <c r="AI23" s="30">
        <v>6947698</v>
      </c>
      <c r="AJ23" s="102">
        <v>612.92999999999995</v>
      </c>
      <c r="AK23" s="30">
        <v>10661558</v>
      </c>
      <c r="AL23" s="30">
        <v>7413509</v>
      </c>
      <c r="AM23" s="102">
        <f>AM20</f>
        <v>688.68</v>
      </c>
      <c r="AN23" s="30">
        <v>43262551</v>
      </c>
      <c r="AO23" s="30">
        <v>26650743</v>
      </c>
      <c r="AP23" s="102">
        <v>616.83000000000004</v>
      </c>
      <c r="AQ23" s="30">
        <v>11003878</v>
      </c>
      <c r="AR23" s="30">
        <v>6912454</v>
      </c>
      <c r="AS23" s="102">
        <v>629.99</v>
      </c>
      <c r="AT23" s="30">
        <v>10739687</v>
      </c>
      <c r="AU23" s="30">
        <v>6202062</v>
      </c>
      <c r="AV23" s="102">
        <v>583.13</v>
      </c>
      <c r="AW23" s="30">
        <v>10524784</v>
      </c>
      <c r="AX23" s="30">
        <v>6275015</v>
      </c>
      <c r="AY23" s="102">
        <v>596.21</v>
      </c>
      <c r="AZ23" s="30">
        <v>39402292</v>
      </c>
      <c r="BA23" s="30">
        <v>23018002</v>
      </c>
      <c r="BB23" s="102">
        <v>584.45987488938727</v>
      </c>
      <c r="BC23" s="30">
        <v>9843657</v>
      </c>
      <c r="BD23" s="30">
        <v>5785202</v>
      </c>
      <c r="BE23" s="102">
        <v>587.71</v>
      </c>
      <c r="BF23" s="30">
        <v>9407912</v>
      </c>
      <c r="BG23" s="30">
        <v>5227560</v>
      </c>
      <c r="BH23" s="102">
        <v>555.66</v>
      </c>
      <c r="BI23" s="30">
        <v>10249046</v>
      </c>
      <c r="BJ23" s="30">
        <v>5855898</v>
      </c>
      <c r="BK23" s="102">
        <v>571.36</v>
      </c>
      <c r="BL23" s="30">
        <v>42213989</v>
      </c>
      <c r="BM23" s="30">
        <v>24051764</v>
      </c>
      <c r="BN23" s="102">
        <v>567.09365826127089</v>
      </c>
      <c r="BO23" s="30">
        <v>10756078</v>
      </c>
      <c r="BP23" s="30">
        <v>6147869</v>
      </c>
      <c r="BQ23" s="102">
        <v>571.57000000000005</v>
      </c>
      <c r="BR23" s="30">
        <v>10697985</v>
      </c>
      <c r="BS23" s="30">
        <v>5648438</v>
      </c>
      <c r="BT23" s="102">
        <v>527.99</v>
      </c>
    </row>
    <row r="24" spans="1:72" ht="25.5" x14ac:dyDescent="0.25">
      <c r="B24" s="26" t="s">
        <v>166</v>
      </c>
      <c r="C24" s="29">
        <v>3952637</v>
      </c>
      <c r="D24" s="29">
        <v>966330</v>
      </c>
      <c r="E24" s="114">
        <f>D24*1000/C24</f>
        <v>244.47729452514866</v>
      </c>
      <c r="F24" s="29">
        <v>4136944</v>
      </c>
      <c r="G24" s="29">
        <v>969884</v>
      </c>
      <c r="H24" s="114">
        <f>G24*1000/F24</f>
        <v>234.44455617479957</v>
      </c>
      <c r="I24" s="190">
        <f t="shared" si="5"/>
        <v>-4.4551485347638309E-2</v>
      </c>
      <c r="J24" s="190">
        <f t="shared" si="2"/>
        <v>-3.6643557373871039E-3</v>
      </c>
      <c r="M24" s="29">
        <v>4275663</v>
      </c>
      <c r="N24" s="29">
        <v>1051019</v>
      </c>
      <c r="O24" s="114">
        <f>N24*1000/M24</f>
        <v>245.81427488555576</v>
      </c>
      <c r="P24" s="29">
        <v>4742073</v>
      </c>
      <c r="Q24" s="29">
        <v>1206718</v>
      </c>
      <c r="R24" s="114">
        <v>254.47056593181927</v>
      </c>
      <c r="S24" s="29">
        <v>4410689</v>
      </c>
      <c r="T24" s="29">
        <v>1042287</v>
      </c>
      <c r="U24" s="114">
        <f>T24*1000/S24</f>
        <v>236.30933851831313</v>
      </c>
      <c r="V24" s="29">
        <v>4136944</v>
      </c>
      <c r="W24" s="29">
        <v>969884</v>
      </c>
      <c r="X24" s="114">
        <v>234.44</v>
      </c>
      <c r="Y24" s="29">
        <v>4038776</v>
      </c>
      <c r="Z24" s="29">
        <v>964188</v>
      </c>
      <c r="AA24" s="114">
        <v>238.73</v>
      </c>
      <c r="AB24" s="29">
        <v>16776567</v>
      </c>
      <c r="AC24" s="29">
        <v>3893503</v>
      </c>
      <c r="AD24" s="114">
        <v>232.08</v>
      </c>
      <c r="AE24" s="29">
        <v>4597695</v>
      </c>
      <c r="AF24" s="29">
        <v>1037053</v>
      </c>
      <c r="AG24" s="114">
        <v>230.11</v>
      </c>
      <c r="AH24" s="29">
        <v>3847121</v>
      </c>
      <c r="AI24" s="29">
        <v>884910</v>
      </c>
      <c r="AJ24" s="114">
        <v>230.02</v>
      </c>
      <c r="AK24" s="29">
        <v>3700905</v>
      </c>
      <c r="AL24" s="29">
        <v>866323</v>
      </c>
      <c r="AM24" s="114">
        <v>234.53</v>
      </c>
      <c r="AN24" s="29">
        <v>12952726</v>
      </c>
      <c r="AO24" s="29">
        <v>3023921</v>
      </c>
      <c r="AP24" s="114">
        <v>233.46</v>
      </c>
      <c r="AQ24" s="29">
        <v>3026922</v>
      </c>
      <c r="AR24" s="29">
        <v>757429</v>
      </c>
      <c r="AS24" s="114">
        <v>250.23</v>
      </c>
      <c r="AT24" s="29">
        <v>2612137</v>
      </c>
      <c r="AU24" s="29">
        <v>653719</v>
      </c>
      <c r="AV24" s="114">
        <v>250.26</v>
      </c>
      <c r="AW24" s="29">
        <v>2716110</v>
      </c>
      <c r="AX24" s="29">
        <v>750541</v>
      </c>
      <c r="AY24" s="114">
        <v>276.33</v>
      </c>
      <c r="AZ24" s="29">
        <v>13906848</v>
      </c>
      <c r="BA24" s="29">
        <v>3363012</v>
      </c>
      <c r="BB24" s="114">
        <v>241.82417180370419</v>
      </c>
      <c r="BC24" s="29">
        <v>3150749</v>
      </c>
      <c r="BD24" s="29">
        <v>818168</v>
      </c>
      <c r="BE24" s="114">
        <v>259.67</v>
      </c>
      <c r="BF24" s="29">
        <v>3401541</v>
      </c>
      <c r="BG24" s="29">
        <v>726004</v>
      </c>
      <c r="BH24" s="114">
        <v>213.43</v>
      </c>
      <c r="BI24" s="29">
        <v>3224555</v>
      </c>
      <c r="BJ24" s="29">
        <v>862360</v>
      </c>
      <c r="BK24" s="114">
        <v>267.44</v>
      </c>
      <c r="BL24" s="29">
        <v>11919773</v>
      </c>
      <c r="BM24" s="29">
        <v>2942687</v>
      </c>
      <c r="BN24" s="114">
        <v>246.87441614869678</v>
      </c>
      <c r="BO24" s="29">
        <v>3099633</v>
      </c>
      <c r="BP24" s="29">
        <v>755593</v>
      </c>
      <c r="BQ24" s="114">
        <v>243.77</v>
      </c>
      <c r="BR24" s="29">
        <v>2422273</v>
      </c>
      <c r="BS24" s="29">
        <v>641532</v>
      </c>
      <c r="BT24" s="114">
        <v>264.85000000000002</v>
      </c>
    </row>
    <row r="25" spans="1:72" x14ac:dyDescent="0.25">
      <c r="B25" s="25" t="s">
        <v>167</v>
      </c>
      <c r="C25" s="28" t="s">
        <v>5</v>
      </c>
      <c r="D25" s="28">
        <v>-32395</v>
      </c>
      <c r="E25" s="113">
        <v>0</v>
      </c>
      <c r="F25" s="28" t="s">
        <v>5</v>
      </c>
      <c r="G25" s="28">
        <v>-17993</v>
      </c>
      <c r="H25" s="113" t="s">
        <v>5</v>
      </c>
      <c r="I25" s="189" t="s">
        <v>5</v>
      </c>
      <c r="J25" s="189">
        <f t="shared" si="2"/>
        <v>0.80042238648363262</v>
      </c>
      <c r="M25" s="28" t="s">
        <v>5</v>
      </c>
      <c r="N25" s="28">
        <v>-49073</v>
      </c>
      <c r="O25" s="113" t="s">
        <v>5</v>
      </c>
      <c r="P25" s="28">
        <v>0</v>
      </c>
      <c r="Q25" s="28">
        <v>28225</v>
      </c>
      <c r="R25" s="113" t="s">
        <v>5</v>
      </c>
      <c r="S25" s="28" t="s">
        <v>5</v>
      </c>
      <c r="T25" s="28">
        <v>93509</v>
      </c>
      <c r="U25" s="113" t="s">
        <v>5</v>
      </c>
      <c r="V25" s="28" t="s">
        <v>5</v>
      </c>
      <c r="W25" s="28">
        <v>-17993</v>
      </c>
      <c r="X25" s="113" t="s">
        <v>5</v>
      </c>
      <c r="Y25" s="28" t="s">
        <v>5</v>
      </c>
      <c r="Z25" s="28">
        <v>-58440</v>
      </c>
      <c r="AA25" s="113" t="s">
        <v>5</v>
      </c>
      <c r="AB25" s="28"/>
      <c r="AC25" s="28">
        <v>88430</v>
      </c>
      <c r="AD25" s="113" t="s">
        <v>5</v>
      </c>
      <c r="AE25" s="28" t="s">
        <v>5</v>
      </c>
      <c r="AF25" s="28">
        <v>41188</v>
      </c>
      <c r="AG25" s="113" t="s">
        <v>5</v>
      </c>
      <c r="AH25" s="30" t="s">
        <v>5</v>
      </c>
      <c r="AI25" s="28">
        <v>11944</v>
      </c>
      <c r="AJ25" s="113" t="s">
        <v>5</v>
      </c>
      <c r="AK25" s="30" t="s">
        <v>5</v>
      </c>
      <c r="AL25" s="28">
        <v>24224</v>
      </c>
      <c r="AM25" s="113" t="s">
        <v>5</v>
      </c>
      <c r="AN25" s="28" t="s">
        <v>5</v>
      </c>
      <c r="AO25" s="28">
        <v>-55410</v>
      </c>
      <c r="AP25" s="113" t="s">
        <v>5</v>
      </c>
      <c r="AQ25" s="30" t="s">
        <v>5</v>
      </c>
      <c r="AR25" s="28">
        <v>70329</v>
      </c>
      <c r="AS25" s="113" t="s">
        <v>5</v>
      </c>
      <c r="AT25" s="30" t="s">
        <v>5</v>
      </c>
      <c r="AU25" s="28">
        <v>-18048</v>
      </c>
      <c r="AV25" s="113" t="s">
        <v>5</v>
      </c>
      <c r="AW25" s="30" t="s">
        <v>5</v>
      </c>
      <c r="AX25" s="28">
        <v>-73719</v>
      </c>
      <c r="AY25" s="113" t="s">
        <v>5</v>
      </c>
      <c r="AZ25" s="28" t="s">
        <v>5</v>
      </c>
      <c r="BA25" s="28">
        <v>51067</v>
      </c>
      <c r="BB25" s="113"/>
      <c r="BC25" s="30" t="s">
        <v>5</v>
      </c>
      <c r="BD25" s="28">
        <v>89541</v>
      </c>
      <c r="BE25" s="113" t="s">
        <v>5</v>
      </c>
      <c r="BF25" s="28" t="s">
        <v>5</v>
      </c>
      <c r="BG25" s="28">
        <v>-33550</v>
      </c>
      <c r="BH25" s="113" t="s">
        <v>5</v>
      </c>
      <c r="BI25" s="28" t="s">
        <v>5</v>
      </c>
      <c r="BJ25" s="28">
        <v>49180</v>
      </c>
      <c r="BK25" s="113" t="s">
        <v>5</v>
      </c>
      <c r="BL25" s="28" t="s">
        <v>5</v>
      </c>
      <c r="BM25" s="28">
        <v>-66892</v>
      </c>
      <c r="BN25" s="113"/>
      <c r="BO25" s="28" t="s">
        <v>5</v>
      </c>
      <c r="BP25" s="28">
        <v>-28383</v>
      </c>
      <c r="BQ25" s="113" t="s">
        <v>5</v>
      </c>
      <c r="BR25" s="28" t="s">
        <v>5</v>
      </c>
      <c r="BS25" s="28">
        <v>37767</v>
      </c>
      <c r="BT25" s="113" t="s">
        <v>5</v>
      </c>
    </row>
    <row r="26" spans="1:72" ht="15.75" thickBot="1" x14ac:dyDescent="0.3">
      <c r="B26" s="106" t="s">
        <v>168</v>
      </c>
      <c r="C26" s="103">
        <v>15404855</v>
      </c>
      <c r="D26" s="103">
        <v>8144077</v>
      </c>
      <c r="E26" s="115">
        <f>(D26-D25-D22)*1000/(C26-C21)</f>
        <v>526.59515773865871</v>
      </c>
      <c r="F26" s="103">
        <v>15672965</v>
      </c>
      <c r="G26" s="103">
        <v>7528639</v>
      </c>
      <c r="H26" s="115">
        <f>(G26-G25-G22)*1000/(F26-F21)</f>
        <v>484.76658562920846</v>
      </c>
      <c r="I26" s="191">
        <f>C26/F26-1</f>
        <v>-1.7106527067469401E-2</v>
      </c>
      <c r="J26" s="191">
        <f t="shared" si="2"/>
        <v>8.1746249222468981E-2</v>
      </c>
      <c r="M26" s="103">
        <v>15556354</v>
      </c>
      <c r="N26" s="103">
        <v>8019144</v>
      </c>
      <c r="O26" s="115">
        <f>(N26-N25-N22)*1000/(M26-M21)</f>
        <v>528.90733222169092</v>
      </c>
      <c r="P26" s="103">
        <v>16693429</v>
      </c>
      <c r="Q26" s="103">
        <v>8917462</v>
      </c>
      <c r="R26" s="115">
        <v>526.23067894468852</v>
      </c>
      <c r="S26" s="103">
        <v>15786608</v>
      </c>
      <c r="T26" s="103">
        <v>8130020</v>
      </c>
      <c r="U26" s="115">
        <f>(T26-T25-T22)*1000/(S26-S21)</f>
        <v>503.48226295285275</v>
      </c>
      <c r="V26" s="103">
        <v>15672965</v>
      </c>
      <c r="W26" s="103">
        <v>7528639</v>
      </c>
      <c r="X26" s="115">
        <v>484.77</v>
      </c>
      <c r="Y26" s="103">
        <v>14974111</v>
      </c>
      <c r="Z26" s="103">
        <v>7095344</v>
      </c>
      <c r="AA26" s="115">
        <v>477.09</v>
      </c>
      <c r="AB26" s="103">
        <v>61671475</v>
      </c>
      <c r="AC26" s="103">
        <v>30158388</v>
      </c>
      <c r="AD26" s="115">
        <v>490.89</v>
      </c>
      <c r="AE26" s="103">
        <v>15945049</v>
      </c>
      <c r="AF26" s="103">
        <v>7105782</v>
      </c>
      <c r="AG26" s="115">
        <v>441.93</v>
      </c>
      <c r="AH26" s="103">
        <v>15233074</v>
      </c>
      <c r="AI26" s="103">
        <v>7844552</v>
      </c>
      <c r="AJ26" s="115">
        <v>516.17999999999995</v>
      </c>
      <c r="AK26" s="103">
        <v>14362463</v>
      </c>
      <c r="AL26" s="103">
        <v>8304056</v>
      </c>
      <c r="AM26" s="115">
        <v>571.46</v>
      </c>
      <c r="AN26" s="103">
        <v>56215277</v>
      </c>
      <c r="AO26" s="103">
        <v>29619254</v>
      </c>
      <c r="AP26" s="115">
        <v>528.44000000000005</v>
      </c>
      <c r="AQ26" s="103">
        <v>14030800</v>
      </c>
      <c r="AR26" s="103">
        <v>7740212</v>
      </c>
      <c r="AS26" s="115">
        <v>548.02</v>
      </c>
      <c r="AT26" s="103">
        <v>13351824</v>
      </c>
      <c r="AU26" s="103">
        <v>6837733</v>
      </c>
      <c r="AV26" s="115">
        <v>517.97</v>
      </c>
      <c r="AW26" s="103">
        <v>13240894</v>
      </c>
      <c r="AX26" s="103">
        <v>6951837</v>
      </c>
      <c r="AY26" s="115">
        <v>525.03</v>
      </c>
      <c r="AZ26" s="103">
        <v>53309140</v>
      </c>
      <c r="BA26" s="103">
        <v>26432081</v>
      </c>
      <c r="BB26" s="115">
        <v>495.01870960198613</v>
      </c>
      <c r="BC26" s="103">
        <v>12994406</v>
      </c>
      <c r="BD26" s="103">
        <v>6692911</v>
      </c>
      <c r="BE26" s="115">
        <v>499.73</v>
      </c>
      <c r="BF26" s="103">
        <v>12809453</v>
      </c>
      <c r="BG26" s="103">
        <v>5920014</v>
      </c>
      <c r="BH26" s="115">
        <v>472.96</v>
      </c>
      <c r="BI26" s="103">
        <v>13473601</v>
      </c>
      <c r="BJ26" s="103">
        <v>6767438</v>
      </c>
      <c r="BK26" s="115">
        <v>502.27</v>
      </c>
      <c r="BL26" s="103">
        <v>54133762</v>
      </c>
      <c r="BM26" s="103">
        <v>26927559</v>
      </c>
      <c r="BN26" s="115">
        <v>496.53492448184875</v>
      </c>
      <c r="BO26" s="103">
        <v>13855711</v>
      </c>
      <c r="BP26" s="103">
        <v>6875079</v>
      </c>
      <c r="BQ26" s="115">
        <v>498.41</v>
      </c>
      <c r="BR26" s="103">
        <v>13120258</v>
      </c>
      <c r="BS26" s="103">
        <v>6327737</v>
      </c>
      <c r="BT26" s="115">
        <v>473.26</v>
      </c>
    </row>
    <row r="27" spans="1:72" ht="15.75" thickTop="1" x14ac:dyDescent="0.25">
      <c r="C27" s="112"/>
      <c r="D27" s="112"/>
      <c r="E27" s="112"/>
      <c r="G27" s="112"/>
      <c r="H27" s="112"/>
    </row>
    <row r="28" spans="1:72" x14ac:dyDescent="0.25">
      <c r="A28" s="24"/>
      <c r="B28" s="379" t="s">
        <v>545</v>
      </c>
      <c r="C28" s="379"/>
      <c r="D28" s="379"/>
      <c r="E28" s="379"/>
      <c r="G28" s="112"/>
      <c r="H28" s="112"/>
    </row>
    <row r="29" spans="1:72" x14ac:dyDescent="0.25">
      <c r="A29" s="265"/>
      <c r="B29" s="266"/>
      <c r="C29" s="112">
        <f t="shared" ref="C29:D29" si="6">SUM(C13:C19)-C20</f>
        <v>0</v>
      </c>
      <c r="D29" s="112">
        <f t="shared" si="6"/>
        <v>0</v>
      </c>
      <c r="E29" s="266"/>
      <c r="F29" s="112">
        <f>SUM(F13:F19)-F20</f>
        <v>0</v>
      </c>
      <c r="G29" s="112">
        <f>SUM(G13:G19)-G20</f>
        <v>0</v>
      </c>
      <c r="H29" s="112"/>
      <c r="V29" s="112">
        <f t="shared" ref="V29:W29" si="7">SUM(V13:V19)-V20</f>
        <v>0</v>
      </c>
      <c r="W29" s="112">
        <f t="shared" si="7"/>
        <v>0</v>
      </c>
      <c r="X29" s="266"/>
      <c r="Y29" s="112">
        <f>SUM(Y13:Y19)-Y20</f>
        <v>0</v>
      </c>
      <c r="Z29" s="112">
        <f>SUM(Z13:Z19)-Z20</f>
        <v>0</v>
      </c>
      <c r="AB29" s="112">
        <f>SUM(AB13:AB19)-AB20</f>
        <v>0</v>
      </c>
      <c r="AC29" s="112">
        <f>SUM(AC13:AC19)-AC20</f>
        <v>0</v>
      </c>
      <c r="AE29" s="112">
        <f>SUM(AE13:AE19)-AE20</f>
        <v>0</v>
      </c>
      <c r="AF29" s="112">
        <f>SUM(AF13:AF19)-AF20</f>
        <v>0</v>
      </c>
      <c r="AH29" s="112">
        <f>SUM(AH13:AH19)-AH20</f>
        <v>0</v>
      </c>
      <c r="AI29" s="112">
        <f>SUM(AI13:AI19)-AI20</f>
        <v>0</v>
      </c>
      <c r="AK29" s="112">
        <f>SUM(AK13:AK19)-AK20</f>
        <v>0</v>
      </c>
      <c r="AL29" s="112">
        <f>SUM(AL13:AL19)-AL20</f>
        <v>0</v>
      </c>
      <c r="AN29" s="112">
        <f>SUM(AN13:AN19)-AN20</f>
        <v>0</v>
      </c>
      <c r="AO29" s="112">
        <f>SUM(AO13:AO19)-AO20</f>
        <v>0</v>
      </c>
      <c r="AQ29" s="112">
        <f>SUM(AQ13:AQ19)-AQ20</f>
        <v>0</v>
      </c>
      <c r="AR29" s="112">
        <f>SUM(AR13:AR19)-AR20</f>
        <v>0</v>
      </c>
      <c r="AT29" s="112">
        <f>SUM(AT13:AT19)-AT20</f>
        <v>0</v>
      </c>
      <c r="AU29" s="112">
        <f>SUM(AU13:AU19)-AU20</f>
        <v>0</v>
      </c>
      <c r="AW29" s="112">
        <f>SUM(AW13:AW19)-AW20</f>
        <v>0</v>
      </c>
      <c r="AX29" s="112">
        <f>SUM(AX13:AX19)-AX20</f>
        <v>0</v>
      </c>
      <c r="AZ29" s="112">
        <f>SUM(AZ13:AZ19)-AZ20</f>
        <v>0</v>
      </c>
      <c r="BA29" s="112">
        <f>SUM(BA13:BA19)-BA20</f>
        <v>0</v>
      </c>
      <c r="BC29" s="112">
        <f>SUM(BC13:BC19)-BC20</f>
        <v>0</v>
      </c>
      <c r="BD29" s="112">
        <f>SUM(BD13:BD19)-BD20</f>
        <v>0</v>
      </c>
      <c r="BF29" s="112">
        <f>SUM(BF13:BF19)-BF20</f>
        <v>0</v>
      </c>
      <c r="BG29" s="112">
        <f>SUM(BG13:BG19)-BG20</f>
        <v>0</v>
      </c>
      <c r="BI29" s="112">
        <f>SUM(BI13:BI19)-BI20</f>
        <v>0</v>
      </c>
      <c r="BJ29" s="112">
        <f>SUM(BJ13:BJ19)-BJ20</f>
        <v>0</v>
      </c>
      <c r="BL29" s="112">
        <f>SUM(BL13:BL19)-BL20</f>
        <v>0</v>
      </c>
      <c r="BM29" s="112">
        <f>SUM(BM13:BM19)-BM20</f>
        <v>0</v>
      </c>
      <c r="BO29" s="112">
        <f>SUM(BO13:BO19)-BO20</f>
        <v>0</v>
      </c>
      <c r="BP29" s="112">
        <f>SUM(BP13:BP19)-BP20</f>
        <v>0</v>
      </c>
      <c r="BR29" s="112">
        <f>SUM(BR13:BR19)-BR20</f>
        <v>0</v>
      </c>
      <c r="BS29" s="112">
        <f>SUM(BS13:BS19)-BS20</f>
        <v>0</v>
      </c>
    </row>
    <row r="30" spans="1:72" x14ac:dyDescent="0.25">
      <c r="A30" s="265"/>
      <c r="B30" s="266"/>
      <c r="C30" s="112">
        <f t="shared" ref="C30:D30" si="8">SUM(C20:C22)-C23</f>
        <v>0</v>
      </c>
      <c r="D30" s="112">
        <f t="shared" si="8"/>
        <v>0</v>
      </c>
      <c r="E30" s="266"/>
      <c r="F30" s="112">
        <f>SUM(F20:F22)-F23</f>
        <v>0</v>
      </c>
      <c r="G30" s="112">
        <f>SUM(G20:G22)-G23</f>
        <v>0</v>
      </c>
      <c r="H30" s="266"/>
      <c r="V30" s="112">
        <f t="shared" ref="V30:W30" si="9">SUM(V20:V22)-V23</f>
        <v>0</v>
      </c>
      <c r="W30" s="112">
        <f t="shared" si="9"/>
        <v>0</v>
      </c>
      <c r="X30" s="266"/>
      <c r="Y30" s="112">
        <f>SUM(Y20:Y22)-Y23</f>
        <v>0</v>
      </c>
      <c r="Z30" s="112">
        <f>SUM(Z20:Z22)-Z23</f>
        <v>0</v>
      </c>
      <c r="AB30" s="112">
        <f>SUM(AB20:AB22)-AB23</f>
        <v>0</v>
      </c>
      <c r="AC30" s="112">
        <f>SUM(AC20:AC22)-AC23</f>
        <v>0</v>
      </c>
      <c r="AE30" s="112">
        <f>SUM(AE20:AE22)-AE23</f>
        <v>0</v>
      </c>
      <c r="AF30" s="112">
        <f>SUM(AF20:AF22)-AF23</f>
        <v>0</v>
      </c>
      <c r="AH30" s="112">
        <f>SUM(AH20:AH22)-AH23</f>
        <v>0</v>
      </c>
      <c r="AI30" s="112">
        <f>SUM(AI20:AI22)-AI23</f>
        <v>0</v>
      </c>
      <c r="AK30" s="112">
        <f>SUM(AK20:AK22)-AK23</f>
        <v>0</v>
      </c>
      <c r="AL30" s="112">
        <f>SUM(AL20:AL22)-AL23</f>
        <v>0</v>
      </c>
      <c r="AN30" s="112">
        <f>SUM(AN20:AN22)-AN23</f>
        <v>0</v>
      </c>
      <c r="AO30" s="112">
        <f>SUM(AO20:AO22)-AO23</f>
        <v>0</v>
      </c>
      <c r="AQ30" s="112">
        <f>SUM(AQ20:AQ22)-AQ23</f>
        <v>0</v>
      </c>
      <c r="AR30" s="112">
        <f>SUM(AR20:AR22)-AR23</f>
        <v>0</v>
      </c>
      <c r="AT30" s="112">
        <f>SUM(AT20:AT22)-AT23</f>
        <v>0</v>
      </c>
      <c r="AU30" s="112">
        <f>SUM(AU20:AU22)-AU23</f>
        <v>0</v>
      </c>
      <c r="AW30" s="112">
        <f>SUM(AW20:AW22)-AW23</f>
        <v>0</v>
      </c>
      <c r="AX30" s="112">
        <f>SUM(AX20:AX22)-AX23</f>
        <v>0</v>
      </c>
      <c r="AZ30" s="112">
        <f>SUM(AZ20:AZ22)-AZ23</f>
        <v>0</v>
      </c>
      <c r="BA30" s="112">
        <f>SUM(BA20:BA22)-BA23</f>
        <v>0</v>
      </c>
      <c r="BC30" s="112">
        <f>SUM(BC20:BC22)-BC23</f>
        <v>0</v>
      </c>
      <c r="BD30" s="112">
        <f>SUM(BD20:BD22)-BD23</f>
        <v>0</v>
      </c>
      <c r="BF30" s="112">
        <f>SUM(BF20:BF22)-BF23</f>
        <v>0</v>
      </c>
      <c r="BG30" s="112">
        <f>SUM(BG20:BG22)-BG23</f>
        <v>0</v>
      </c>
      <c r="BI30" s="112">
        <f>SUM(BI20:BI22)-BI23</f>
        <v>0</v>
      </c>
      <c r="BJ30" s="112">
        <f>SUM(BJ20:BJ22)-BJ23</f>
        <v>0</v>
      </c>
      <c r="BL30" s="112">
        <f>SUM(BL20:BL22)-BL23</f>
        <v>0</v>
      </c>
      <c r="BM30" s="112">
        <f>SUM(BM20:BM22)-BM23</f>
        <v>0</v>
      </c>
      <c r="BO30" s="112">
        <f>SUM(BO20:BO22)-BO23</f>
        <v>0</v>
      </c>
      <c r="BP30" s="112">
        <f>SUM(BP20:BP22)-BP23</f>
        <v>0</v>
      </c>
      <c r="BR30" s="112">
        <f>SUM(BR20:BR22)-BR23</f>
        <v>0</v>
      </c>
      <c r="BS30" s="112">
        <f>SUM(BS20:BS22)-BS23</f>
        <v>0</v>
      </c>
    </row>
    <row r="31" spans="1:72" x14ac:dyDescent="0.25">
      <c r="B31" s="266"/>
      <c r="C31" s="112">
        <f t="shared" ref="C31:D31" si="10">SUM(C23:C25)-C26</f>
        <v>0</v>
      </c>
      <c r="D31" s="112">
        <f t="shared" si="10"/>
        <v>0</v>
      </c>
      <c r="E31" s="266"/>
      <c r="F31" s="112">
        <f>SUM(F23:F25)-F26</f>
        <v>0</v>
      </c>
      <c r="G31" s="112">
        <f>SUM(G23:G25)-G26</f>
        <v>0</v>
      </c>
      <c r="H31" s="266"/>
      <c r="V31" s="112">
        <f t="shared" ref="V31:W31" si="11">SUM(V23:V25)-V26</f>
        <v>0</v>
      </c>
      <c r="W31" s="112">
        <f t="shared" si="11"/>
        <v>0</v>
      </c>
      <c r="X31" s="266"/>
      <c r="Y31" s="112">
        <f>SUM(Y23:Y25)-Y26</f>
        <v>0</v>
      </c>
      <c r="Z31" s="112">
        <f>SUM(Z23:Z25)-Z26</f>
        <v>0</v>
      </c>
      <c r="AB31" s="112">
        <f>SUM(AB23:AB25)-AB26</f>
        <v>0</v>
      </c>
      <c r="AC31" s="112">
        <f>SUM(AC23:AC25)-AC26</f>
        <v>0</v>
      </c>
      <c r="AE31" s="112">
        <f>SUM(AE23:AE25)-AE26</f>
        <v>0</v>
      </c>
      <c r="AF31" s="112">
        <f>SUM(AF23:AF25)-AF26</f>
        <v>0</v>
      </c>
      <c r="AH31" s="112">
        <f>SUM(AH23:AH25)-AH26</f>
        <v>0</v>
      </c>
      <c r="AI31" s="112">
        <f>SUM(AI23:AI25)-AI26</f>
        <v>0</v>
      </c>
      <c r="AK31" s="112">
        <f>SUM(AK23:AK25)-AK26</f>
        <v>0</v>
      </c>
      <c r="AL31" s="112">
        <f>SUM(AL23:AL25)-AL26</f>
        <v>0</v>
      </c>
      <c r="AN31" s="112">
        <f>SUM(AN23:AN25)-AN26</f>
        <v>0</v>
      </c>
      <c r="AO31" s="112">
        <f>SUM(AO23:AO25)-AO26</f>
        <v>0</v>
      </c>
      <c r="AQ31" s="112">
        <f>SUM(AQ23:AQ25)-AQ26</f>
        <v>0</v>
      </c>
      <c r="AR31" s="112">
        <f>SUM(AR23:AR25)-AR26</f>
        <v>0</v>
      </c>
      <c r="AT31" s="112">
        <f>SUM(AT23:AT25)-AT26</f>
        <v>0</v>
      </c>
      <c r="AU31" s="112">
        <f>SUM(AU23:AU25)-AU26</f>
        <v>0</v>
      </c>
      <c r="AW31" s="112">
        <f>SUM(AW23:AW25)-AW26</f>
        <v>0</v>
      </c>
      <c r="AX31" s="112">
        <f>SUM(AX23:AX25)-AX26</f>
        <v>0</v>
      </c>
      <c r="AZ31" s="112">
        <f>SUM(AZ23:AZ25)-AZ26</f>
        <v>0</v>
      </c>
      <c r="BA31" s="112">
        <f>SUM(BA23:BA25)-BA26</f>
        <v>0</v>
      </c>
      <c r="BC31" s="112">
        <f>SUM(BC23:BC25)-BC26</f>
        <v>0</v>
      </c>
      <c r="BD31" s="112">
        <f>SUM(BD23:BD25)-BD26</f>
        <v>0</v>
      </c>
      <c r="BF31" s="112">
        <f>SUM(BF23:BF25)-BF26</f>
        <v>0</v>
      </c>
      <c r="BG31" s="112">
        <f>SUM(BG23:BG25)-BG26</f>
        <v>0</v>
      </c>
      <c r="BI31" s="112">
        <f>SUM(BI23:BI25)-BI26</f>
        <v>0</v>
      </c>
      <c r="BJ31" s="112">
        <f>SUM(BJ23:BJ25)-BJ26</f>
        <v>0</v>
      </c>
      <c r="BL31" s="112">
        <f>SUM(BL23:BL25)-BL26</f>
        <v>0</v>
      </c>
      <c r="BM31" s="112">
        <f>SUM(BM23:BM25)-BM26</f>
        <v>0</v>
      </c>
      <c r="BO31" s="112">
        <f>SUM(BO23:BO25)-BO26</f>
        <v>0</v>
      </c>
      <c r="BP31" s="112">
        <f>SUM(BP23:BP25)-BP26</f>
        <v>0</v>
      </c>
      <c r="BR31" s="112">
        <f>SUM(BR23:BR25)-BR26</f>
        <v>0</v>
      </c>
      <c r="BS31" s="112">
        <f>SUM(BS23:BS25)-BS26</f>
        <v>0</v>
      </c>
    </row>
    <row r="32" spans="1:72" x14ac:dyDescent="0.25">
      <c r="B32" s="266"/>
      <c r="C32" s="266"/>
      <c r="D32" s="112" t="e">
        <f>D26-Receita!#REF!</f>
        <v>#REF!</v>
      </c>
      <c r="E32" s="266"/>
      <c r="F32" s="266"/>
      <c r="G32" s="112" t="e">
        <f>Receita!#REF!-G26</f>
        <v>#REF!</v>
      </c>
      <c r="H32" s="266"/>
      <c r="V32" s="266"/>
      <c r="W32" s="112">
        <f>W26-Receita!I12</f>
        <v>0</v>
      </c>
      <c r="X32" s="266"/>
      <c r="Y32" s="266"/>
      <c r="Z32" s="112">
        <f>Receita!J12-Z26</f>
        <v>0</v>
      </c>
      <c r="AB32" s="266"/>
      <c r="AC32" s="112">
        <f>Receita!K12-AC26</f>
        <v>0</v>
      </c>
      <c r="AE32" s="266"/>
      <c r="AF32" s="112">
        <f>Receita!L12-AF26</f>
        <v>0</v>
      </c>
      <c r="AH32" s="266"/>
      <c r="AI32" s="112">
        <f>Receita!M12-AI26</f>
        <v>0</v>
      </c>
      <c r="AK32" s="266"/>
      <c r="AL32" s="112">
        <f>Receita!N12-AL26</f>
        <v>0</v>
      </c>
      <c r="AN32" s="266"/>
      <c r="AO32" s="112">
        <f>Receita!O12-AO26</f>
        <v>0</v>
      </c>
      <c r="AQ32" s="266"/>
      <c r="AR32" s="112">
        <f>Receita!P12-AR26</f>
        <v>0</v>
      </c>
      <c r="AT32" s="266"/>
      <c r="AU32" s="112">
        <f>Receita!Q12-AU26</f>
        <v>0</v>
      </c>
      <c r="AW32" s="266"/>
      <c r="AX32" s="112">
        <f>Receita!R12-AX26</f>
        <v>0</v>
      </c>
      <c r="AZ32" s="266"/>
      <c r="BA32" s="112">
        <f>Receita!S12-BA26</f>
        <v>0</v>
      </c>
      <c r="BC32" s="266"/>
      <c r="BD32" s="112">
        <f>Receita!T12-BD26</f>
        <v>0</v>
      </c>
      <c r="BF32" s="266"/>
      <c r="BG32" s="112">
        <f>Receita!U12-BG26</f>
        <v>0</v>
      </c>
      <c r="BI32" s="266"/>
      <c r="BJ32" s="112">
        <f>Receita!V12-BJ26</f>
        <v>0</v>
      </c>
      <c r="BL32" s="266"/>
      <c r="BM32" s="112">
        <f>Receita!W12-BM26</f>
        <v>0</v>
      </c>
      <c r="BO32" s="266"/>
      <c r="BP32" s="112">
        <f>Receita!X12-BP26</f>
        <v>0</v>
      </c>
      <c r="BR32" s="266"/>
      <c r="BS32" s="112">
        <f>Receita!Y12-BS26</f>
        <v>0</v>
      </c>
    </row>
  </sheetData>
  <mergeCells count="26">
    <mergeCell ref="BO11:BQ11"/>
    <mergeCell ref="BR11:BT11"/>
    <mergeCell ref="B28:E28"/>
    <mergeCell ref="B11:B12"/>
    <mergeCell ref="Y11:AA11"/>
    <mergeCell ref="I11:J11"/>
    <mergeCell ref="S11:U11"/>
    <mergeCell ref="C11:E11"/>
    <mergeCell ref="F11:H11"/>
    <mergeCell ref="M11:O11"/>
    <mergeCell ref="M10:BT10"/>
    <mergeCell ref="P11:R11"/>
    <mergeCell ref="AN11:AP11"/>
    <mergeCell ref="AQ11:AS11"/>
    <mergeCell ref="AT11:AV11"/>
    <mergeCell ref="AW11:AY11"/>
    <mergeCell ref="V11:X11"/>
    <mergeCell ref="AB11:AD11"/>
    <mergeCell ref="AE11:AG11"/>
    <mergeCell ref="AH11:AJ11"/>
    <mergeCell ref="AK11:AM11"/>
    <mergeCell ref="AZ11:BB11"/>
    <mergeCell ref="BC11:BE11"/>
    <mergeCell ref="BF11:BH11"/>
    <mergeCell ref="BI11:BK11"/>
    <mergeCell ref="BL11:BN11"/>
  </mergeCells>
  <conditionalFormatting sqref="C27:E27 G27:G28 C29:D31 F29:G31">
    <cfRule type="cellIs" dxfId="102" priority="48" operator="notEqual">
      <formula>0</formula>
    </cfRule>
  </conditionalFormatting>
  <conditionalFormatting sqref="D32">
    <cfRule type="cellIs" dxfId="101" priority="4" operator="notEqual">
      <formula>0</formula>
    </cfRule>
  </conditionalFormatting>
  <conditionalFormatting sqref="G32">
    <cfRule type="cellIs" dxfId="100" priority="3" operator="notEqual">
      <formula>0</formula>
    </cfRule>
  </conditionalFormatting>
  <conditionalFormatting sqref="H27:H29">
    <cfRule type="cellIs" dxfId="99" priority="47" operator="notEqual">
      <formula>0</formula>
    </cfRule>
  </conditionalFormatting>
  <conditionalFormatting sqref="W32">
    <cfRule type="cellIs" dxfId="98" priority="45" operator="notEqual">
      <formula>0</formula>
    </cfRule>
  </conditionalFormatting>
  <conditionalFormatting sqref="Y29:Z30 V29:W31 Y31">
    <cfRule type="cellIs" dxfId="97" priority="46" operator="notEqual">
      <formula>0</formula>
    </cfRule>
  </conditionalFormatting>
  <conditionalFormatting sqref="Z31:Z32">
    <cfRule type="cellIs" dxfId="96" priority="44" operator="notEqual">
      <formula>0</formula>
    </cfRule>
  </conditionalFormatting>
  <conditionalFormatting sqref="AB29:AC30 AB31">
    <cfRule type="cellIs" dxfId="95" priority="43" operator="notEqual">
      <formula>0</formula>
    </cfRule>
  </conditionalFormatting>
  <conditionalFormatting sqref="AC31:AC32">
    <cfRule type="cellIs" dxfId="94" priority="42" operator="notEqual">
      <formula>0</formula>
    </cfRule>
  </conditionalFormatting>
  <conditionalFormatting sqref="AE29:AF30 AE31">
    <cfRule type="cellIs" dxfId="93" priority="41" operator="notEqual">
      <formula>0</formula>
    </cfRule>
  </conditionalFormatting>
  <conditionalFormatting sqref="AF31:AF32">
    <cfRule type="cellIs" dxfId="92" priority="40" operator="notEqual">
      <formula>0</formula>
    </cfRule>
  </conditionalFormatting>
  <conditionalFormatting sqref="AH29:AI30 AH31">
    <cfRule type="cellIs" dxfId="91" priority="39" operator="notEqual">
      <formula>0</formula>
    </cfRule>
  </conditionalFormatting>
  <conditionalFormatting sqref="AI31:AI32">
    <cfRule type="cellIs" dxfId="90" priority="38" operator="notEqual">
      <formula>0</formula>
    </cfRule>
  </conditionalFormatting>
  <conditionalFormatting sqref="AK29:AL30 AK31">
    <cfRule type="cellIs" dxfId="89" priority="37" operator="notEqual">
      <formula>0</formula>
    </cfRule>
  </conditionalFormatting>
  <conditionalFormatting sqref="AL31:AL32">
    <cfRule type="cellIs" dxfId="88" priority="36" operator="notEqual">
      <formula>0</formula>
    </cfRule>
  </conditionalFormatting>
  <conditionalFormatting sqref="AN29:AO30 AN31">
    <cfRule type="cellIs" dxfId="87" priority="35" operator="notEqual">
      <formula>0</formula>
    </cfRule>
  </conditionalFormatting>
  <conditionalFormatting sqref="AO31:AO32">
    <cfRule type="cellIs" dxfId="86" priority="34" operator="notEqual">
      <formula>0</formula>
    </cfRule>
  </conditionalFormatting>
  <conditionalFormatting sqref="AQ29:AR30 AQ31">
    <cfRule type="cellIs" dxfId="85" priority="33" operator="notEqual">
      <formula>0</formula>
    </cfRule>
  </conditionalFormatting>
  <conditionalFormatting sqref="AR31:AR32">
    <cfRule type="cellIs" dxfId="84" priority="32" operator="notEqual">
      <formula>0</formula>
    </cfRule>
  </conditionalFormatting>
  <conditionalFormatting sqref="AT29:AU30 AT31">
    <cfRule type="cellIs" dxfId="83" priority="31" operator="notEqual">
      <formula>0</formula>
    </cfRule>
  </conditionalFormatting>
  <conditionalFormatting sqref="AU31:AU32">
    <cfRule type="cellIs" dxfId="82" priority="30" operator="notEqual">
      <formula>0</formula>
    </cfRule>
  </conditionalFormatting>
  <conditionalFormatting sqref="AW29:AX30 AW31">
    <cfRule type="cellIs" dxfId="81" priority="29" operator="notEqual">
      <formula>0</formula>
    </cfRule>
  </conditionalFormatting>
  <conditionalFormatting sqref="AX31:AX32">
    <cfRule type="cellIs" dxfId="80" priority="28" operator="notEqual">
      <formula>0</formula>
    </cfRule>
  </conditionalFormatting>
  <conditionalFormatting sqref="AZ29:BA30 AZ31">
    <cfRule type="cellIs" dxfId="79" priority="27" operator="notEqual">
      <formula>0</formula>
    </cfRule>
  </conditionalFormatting>
  <conditionalFormatting sqref="BA31:BA32">
    <cfRule type="cellIs" dxfId="78" priority="6" operator="notEqual">
      <formula>0</formula>
    </cfRule>
  </conditionalFormatting>
  <conditionalFormatting sqref="BC29:BD30 BC31">
    <cfRule type="cellIs" dxfId="77" priority="25" operator="notEqual">
      <formula>0</formula>
    </cfRule>
  </conditionalFormatting>
  <conditionalFormatting sqref="BD31:BD32">
    <cfRule type="cellIs" dxfId="76" priority="24" operator="notEqual">
      <formula>0</formula>
    </cfRule>
  </conditionalFormatting>
  <conditionalFormatting sqref="BF29:BG30 BF31">
    <cfRule type="cellIs" dxfId="75" priority="23" operator="notEqual">
      <formula>0</formula>
    </cfRule>
  </conditionalFormatting>
  <conditionalFormatting sqref="BG31:BG32">
    <cfRule type="cellIs" dxfId="74" priority="22" operator="notEqual">
      <formula>0</formula>
    </cfRule>
  </conditionalFormatting>
  <conditionalFormatting sqref="BI29:BJ30 BI31">
    <cfRule type="cellIs" dxfId="73" priority="21" operator="notEqual">
      <formula>0</formula>
    </cfRule>
  </conditionalFormatting>
  <conditionalFormatting sqref="BJ31:BJ32">
    <cfRule type="cellIs" dxfId="72" priority="20" operator="notEqual">
      <formula>0</formula>
    </cfRule>
  </conditionalFormatting>
  <conditionalFormatting sqref="BL29:BM30 BL31">
    <cfRule type="cellIs" dxfId="71" priority="19" operator="notEqual">
      <formula>0</formula>
    </cfRule>
  </conditionalFormatting>
  <conditionalFormatting sqref="BM31:BM32">
    <cfRule type="cellIs" dxfId="70" priority="18" operator="notEqual">
      <formula>0</formula>
    </cfRule>
  </conditionalFormatting>
  <conditionalFormatting sqref="BO29:BP30 BO31">
    <cfRule type="cellIs" dxfId="69" priority="17" operator="notEqual">
      <formula>0</formula>
    </cfRule>
  </conditionalFormatting>
  <conditionalFormatting sqref="BP31:BP32">
    <cfRule type="cellIs" dxfId="68" priority="16" operator="notEqual">
      <formula>0</formula>
    </cfRule>
  </conditionalFormatting>
  <conditionalFormatting sqref="BR29:BS30 BR31">
    <cfRule type="cellIs" dxfId="67" priority="15" operator="notEqual">
      <formula>0</formula>
    </cfRule>
  </conditionalFormatting>
  <conditionalFormatting sqref="BS31:BS32">
    <cfRule type="cellIs" dxfId="66" priority="14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Planilha6"/>
  <dimension ref="B1:H34"/>
  <sheetViews>
    <sheetView showGridLines="0" showRowColHeaders="0" zoomScale="85" zoomScaleNormal="85" workbookViewId="0"/>
  </sheetViews>
  <sheetFormatPr defaultColWidth="0.140625" defaultRowHeight="15" x14ac:dyDescent="0.25"/>
  <cols>
    <col min="1" max="1" width="9.85546875" customWidth="1"/>
    <col min="2" max="2" width="24.42578125" customWidth="1"/>
    <col min="3" max="7" width="16.140625" customWidth="1"/>
    <col min="8" max="8" width="15.42578125" customWidth="1"/>
    <col min="9" max="9" width="7.42578125" customWidth="1"/>
    <col min="10" max="10" width="6.7109375" customWidth="1"/>
    <col min="11" max="11" width="10.28515625" customWidth="1"/>
    <col min="12" max="12" width="6" customWidth="1"/>
    <col min="13" max="16" width="20.28515625" customWidth="1"/>
    <col min="17" max="17" width="140.85546875" customWidth="1"/>
  </cols>
  <sheetData>
    <row r="1" spans="2:8" x14ac:dyDescent="0.25">
      <c r="B1" s="382"/>
      <c r="C1" s="383"/>
      <c r="D1" s="383"/>
      <c r="E1" s="383"/>
      <c r="F1" s="383"/>
      <c r="G1" s="383"/>
      <c r="H1" s="383"/>
    </row>
    <row r="2" spans="2:8" x14ac:dyDescent="0.25">
      <c r="B2" s="383"/>
      <c r="C2" s="383"/>
      <c r="D2" s="383"/>
      <c r="E2" s="383"/>
      <c r="F2" s="383"/>
      <c r="G2" s="383"/>
      <c r="H2" s="383"/>
    </row>
    <row r="3" spans="2:8" x14ac:dyDescent="0.25">
      <c r="B3" s="383"/>
      <c r="C3" s="383"/>
      <c r="D3" s="383"/>
      <c r="E3" s="383"/>
      <c r="F3" s="383"/>
      <c r="G3" s="383"/>
      <c r="H3" s="383"/>
    </row>
    <row r="4" spans="2:8" ht="18.75" x14ac:dyDescent="0.25">
      <c r="B4" s="15"/>
      <c r="C4" s="15"/>
      <c r="D4" s="15"/>
      <c r="E4" s="15"/>
      <c r="F4" s="15"/>
      <c r="G4" s="15"/>
      <c r="H4" s="15"/>
    </row>
    <row r="5" spans="2:8" ht="18.75" x14ac:dyDescent="0.25">
      <c r="B5" s="15"/>
      <c r="C5" s="15"/>
      <c r="D5" s="15"/>
      <c r="E5" s="15"/>
      <c r="F5" s="15"/>
      <c r="G5" s="15"/>
      <c r="H5" s="15"/>
    </row>
    <row r="6" spans="2:8" ht="18.75" x14ac:dyDescent="0.25">
      <c r="B6" s="15"/>
      <c r="C6" s="15"/>
      <c r="D6" s="15"/>
      <c r="E6" s="15"/>
      <c r="F6" s="15"/>
      <c r="G6" s="15"/>
      <c r="H6" s="15"/>
    </row>
    <row r="7" spans="2:8" ht="18.75" x14ac:dyDescent="0.25">
      <c r="B7" s="15"/>
      <c r="C7" s="15"/>
      <c r="D7" s="15"/>
      <c r="E7" s="15"/>
      <c r="F7" s="15"/>
      <c r="G7" s="15"/>
      <c r="H7" s="15"/>
    </row>
    <row r="8" spans="2:8" ht="10.5" customHeight="1" x14ac:dyDescent="0.25"/>
    <row r="9" spans="2:8" x14ac:dyDescent="0.25">
      <c r="B9" s="68" t="s">
        <v>169</v>
      </c>
      <c r="C9" s="69">
        <v>2019</v>
      </c>
      <c r="D9" s="69">
        <v>2020</v>
      </c>
      <c r="E9" s="69">
        <v>2021</v>
      </c>
      <c r="F9" s="69">
        <v>2022</v>
      </c>
      <c r="G9" s="69">
        <v>2023</v>
      </c>
      <c r="H9" s="69" t="s">
        <v>562</v>
      </c>
    </row>
    <row r="10" spans="2:8" x14ac:dyDescent="0.25">
      <c r="B10" s="70" t="s">
        <v>170</v>
      </c>
      <c r="C10" s="71">
        <v>6613</v>
      </c>
      <c r="D10" s="72">
        <v>6549</v>
      </c>
      <c r="E10" s="71">
        <v>6135</v>
      </c>
      <c r="F10" s="71">
        <v>6172</v>
      </c>
      <c r="G10" s="71">
        <v>6239</v>
      </c>
      <c r="H10" s="297">
        <v>6564</v>
      </c>
    </row>
    <row r="11" spans="2:8" x14ac:dyDescent="0.25">
      <c r="B11" s="70" t="s">
        <v>171</v>
      </c>
      <c r="C11" s="73">
        <v>0.12709999999999999</v>
      </c>
      <c r="D11" s="74">
        <v>0.12570000000000001</v>
      </c>
      <c r="E11" s="73">
        <v>0.1123</v>
      </c>
      <c r="F11" s="73">
        <v>0.1111</v>
      </c>
      <c r="G11" s="73">
        <v>0.1071</v>
      </c>
      <c r="H11" s="298">
        <v>0.1091</v>
      </c>
    </row>
    <row r="12" spans="2:8" x14ac:dyDescent="0.25">
      <c r="B12" s="70" t="s">
        <v>172</v>
      </c>
      <c r="C12" s="73">
        <v>0.11509999999999999</v>
      </c>
      <c r="D12" s="74">
        <v>0.1143</v>
      </c>
      <c r="E12" s="73">
        <v>0.1128</v>
      </c>
      <c r="F12" s="73">
        <v>0.1123</v>
      </c>
      <c r="G12" s="73">
        <v>0.1084</v>
      </c>
      <c r="H12" s="298">
        <v>0.1066</v>
      </c>
    </row>
    <row r="16" spans="2:8" ht="18.75" x14ac:dyDescent="0.25">
      <c r="B16" s="307" t="s">
        <v>549</v>
      </c>
    </row>
    <row r="34" spans="2:2" x14ac:dyDescent="0.25">
      <c r="B34" s="308" t="s">
        <v>550</v>
      </c>
    </row>
  </sheetData>
  <mergeCells count="1">
    <mergeCell ref="B1:H3"/>
  </mergeCells>
  <conditionalFormatting sqref="B10:G12">
    <cfRule type="expression" dxfId="65" priority="2">
      <formula>MOD(ROW(),2)=0</formula>
    </cfRule>
  </conditionalFormatting>
  <conditionalFormatting sqref="H10:H12">
    <cfRule type="expression" dxfId="64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Planilha7"/>
  <dimension ref="A1:I18"/>
  <sheetViews>
    <sheetView showGridLines="0" showRowColHeaders="0" zoomScale="85" zoomScaleNormal="85" workbookViewId="0"/>
  </sheetViews>
  <sheetFormatPr defaultColWidth="9.140625" defaultRowHeight="15.75" x14ac:dyDescent="0.25"/>
  <cols>
    <col min="1" max="1" width="9.85546875" style="31" customWidth="1"/>
    <col min="2" max="2" width="36" style="32" customWidth="1"/>
    <col min="3" max="3" width="17" style="31" customWidth="1"/>
    <col min="4" max="9" width="12.85546875" style="31" customWidth="1"/>
    <col min="10" max="10" width="9.140625" style="31" customWidth="1"/>
    <col min="11" max="11" width="9.5703125" style="31" customWidth="1"/>
    <col min="12" max="16384" width="9.140625" style="31"/>
  </cols>
  <sheetData>
    <row r="1" spans="1:9" ht="15.75" customHeight="1" x14ac:dyDescent="0.25">
      <c r="A1"/>
      <c r="B1" s="121"/>
      <c r="C1" s="14"/>
      <c r="D1" s="14"/>
      <c r="E1" s="14"/>
      <c r="F1" s="14"/>
      <c r="G1" s="14"/>
      <c r="H1" s="14"/>
    </row>
    <row r="2" spans="1:9" ht="15.75" customHeight="1" x14ac:dyDescent="0.25">
      <c r="A2"/>
      <c r="B2" s="121"/>
      <c r="C2" s="14"/>
      <c r="D2" s="14"/>
      <c r="E2" s="14"/>
      <c r="F2" s="14"/>
      <c r="G2" s="14"/>
      <c r="H2" s="14"/>
    </row>
    <row r="3" spans="1:9" ht="15.75" customHeight="1" x14ac:dyDescent="0.25">
      <c r="A3"/>
      <c r="B3" s="121"/>
      <c r="C3" s="14"/>
      <c r="D3" s="14"/>
      <c r="E3" s="14"/>
      <c r="F3" s="14"/>
      <c r="G3" s="14"/>
      <c r="H3" s="14"/>
    </row>
    <row r="4" spans="1:9" ht="15.75" customHeight="1" x14ac:dyDescent="0.25">
      <c r="A4"/>
      <c r="B4" s="121"/>
      <c r="C4" s="14"/>
      <c r="D4" s="14"/>
      <c r="E4" s="14"/>
      <c r="F4" s="14"/>
      <c r="G4" s="14"/>
      <c r="H4" s="14"/>
    </row>
    <row r="5" spans="1:9" ht="15.75" customHeight="1" x14ac:dyDescent="0.25">
      <c r="A5"/>
      <c r="B5" s="14"/>
      <c r="C5" s="14"/>
      <c r="D5" s="14"/>
      <c r="E5" s="14"/>
      <c r="F5" s="14"/>
      <c r="G5" s="14"/>
      <c r="H5" s="14"/>
    </row>
    <row r="6" spans="1:9" ht="18.95" customHeight="1" x14ac:dyDescent="0.25">
      <c r="A6"/>
      <c r="B6" s="14"/>
      <c r="C6" s="14"/>
      <c r="D6" s="14"/>
      <c r="E6" s="14"/>
      <c r="F6" s="14"/>
      <c r="G6" s="14"/>
      <c r="H6" s="14"/>
    </row>
    <row r="7" spans="1:9" ht="27" customHeight="1" x14ac:dyDescent="0.25"/>
    <row r="8" spans="1:9" ht="27.75" hidden="1" customHeight="1" x14ac:dyDescent="0.25"/>
    <row r="9" spans="1:9" ht="27.75" customHeight="1" x14ac:dyDescent="0.25">
      <c r="B9" s="164"/>
      <c r="C9" s="165"/>
      <c r="D9" s="159" t="s">
        <v>562</v>
      </c>
      <c r="E9" s="159">
        <v>2023</v>
      </c>
      <c r="F9" s="159">
        <v>2022</v>
      </c>
      <c r="G9" s="159">
        <v>2021</v>
      </c>
      <c r="H9" s="159">
        <v>2020</v>
      </c>
      <c r="I9" s="159">
        <v>2019</v>
      </c>
    </row>
    <row r="10" spans="1:9" ht="27.75" customHeight="1" x14ac:dyDescent="0.25">
      <c r="B10" s="384" t="s">
        <v>173</v>
      </c>
      <c r="C10" s="159" t="s">
        <v>174</v>
      </c>
      <c r="D10" s="264">
        <v>9.19</v>
      </c>
      <c r="E10" s="264">
        <v>9.7100000000000009</v>
      </c>
      <c r="F10" s="163">
        <v>9.48</v>
      </c>
      <c r="G10" s="160">
        <v>9.4600000000000009</v>
      </c>
      <c r="H10" s="160">
        <v>9.7100000000000009</v>
      </c>
      <c r="I10" s="160">
        <v>10.61</v>
      </c>
    </row>
    <row r="11" spans="1:9" ht="27.75" customHeight="1" x14ac:dyDescent="0.25">
      <c r="B11" s="385"/>
      <c r="C11" s="159" t="s">
        <v>175</v>
      </c>
      <c r="D11" s="160">
        <v>9.64</v>
      </c>
      <c r="E11" s="160">
        <v>9.59</v>
      </c>
      <c r="F11" s="160">
        <v>9.98</v>
      </c>
      <c r="G11" s="160">
        <v>10.08</v>
      </c>
      <c r="H11" s="160">
        <v>10.31</v>
      </c>
      <c r="I11" s="160">
        <v>10.51</v>
      </c>
    </row>
    <row r="12" spans="1:9" ht="27.75" customHeight="1" x14ac:dyDescent="0.25">
      <c r="B12" s="384" t="s">
        <v>176</v>
      </c>
      <c r="C12" s="159" t="s">
        <v>174</v>
      </c>
      <c r="D12" s="160">
        <v>4.95</v>
      </c>
      <c r="E12" s="160">
        <v>4.8600000000000003</v>
      </c>
      <c r="F12" s="160">
        <v>4.58</v>
      </c>
      <c r="G12" s="160">
        <v>4.5999999999999996</v>
      </c>
      <c r="H12" s="160">
        <v>5.07</v>
      </c>
      <c r="I12" s="160">
        <v>5.05</v>
      </c>
    </row>
    <row r="13" spans="1:9" ht="27.75" customHeight="1" x14ac:dyDescent="0.25">
      <c r="B13" s="385"/>
      <c r="C13" s="159" t="s">
        <v>175</v>
      </c>
      <c r="D13" s="161">
        <v>5.98</v>
      </c>
      <c r="E13" s="161">
        <v>6</v>
      </c>
      <c r="F13" s="161">
        <v>6.43</v>
      </c>
      <c r="G13" s="161">
        <v>6.56</v>
      </c>
      <c r="H13" s="161">
        <v>6.98</v>
      </c>
      <c r="I13" s="161">
        <v>7.24</v>
      </c>
    </row>
    <row r="14" spans="1:9" ht="27.75" customHeight="1" x14ac:dyDescent="0.25"/>
    <row r="16" spans="1:9" s="107" customFormat="1" x14ac:dyDescent="0.25">
      <c r="B16" s="108"/>
    </row>
    <row r="18" spans="2:2" x14ac:dyDescent="0.25">
      <c r="B18" s="158"/>
    </row>
  </sheetData>
  <mergeCells count="2">
    <mergeCell ref="B10:B11"/>
    <mergeCell ref="B12:B13"/>
  </mergeCells>
  <conditionalFormatting sqref="D10:E10">
    <cfRule type="iconSet" priority="10">
      <iconSet iconSet="3Symbols" reverse="1">
        <cfvo type="percent" val="0"/>
        <cfvo type="num" val="$E$11" gte="0"/>
        <cfvo type="num" val="$E$11" gte="0"/>
      </iconSet>
    </cfRule>
  </conditionalFormatting>
  <conditionalFormatting sqref="E10:E13">
    <cfRule type="expression" dxfId="63" priority="11">
      <formula>MOD(ROW(),2)=0</formula>
    </cfRule>
  </conditionalFormatting>
  <conditionalFormatting sqref="D12:E12">
    <cfRule type="iconSet" priority="8">
      <iconSet iconSet="3Symbols" reverse="1">
        <cfvo type="percent" val="0"/>
        <cfvo type="num" val="$E$13" gte="0"/>
        <cfvo type="num" val="$E$13" gte="0"/>
      </iconSet>
    </cfRule>
  </conditionalFormatting>
  <conditionalFormatting sqref="F10">
    <cfRule type="iconSet" priority="15">
      <iconSet iconSet="3Symbols" reverse="1">
        <cfvo type="percent" val="0"/>
        <cfvo type="num" val="$F$11" gte="0"/>
        <cfvo type="num" val="$F$11" gte="0"/>
      </iconSet>
    </cfRule>
  </conditionalFormatting>
  <conditionalFormatting sqref="F11:F13">
    <cfRule type="expression" dxfId="62" priority="26">
      <formula>MOD(ROW(),2)=0</formula>
    </cfRule>
  </conditionalFormatting>
  <conditionalFormatting sqref="F12">
    <cfRule type="iconSet" priority="7">
      <iconSet iconSet="3Symbols" reverse="1">
        <cfvo type="percent" val="0"/>
        <cfvo type="num" val="$F$13" gte="0"/>
        <cfvo type="num" val="$F$13" gte="0"/>
      </iconSet>
    </cfRule>
  </conditionalFormatting>
  <conditionalFormatting sqref="G10">
    <cfRule type="iconSet" priority="14">
      <iconSet iconSet="3Symbols" reverse="1">
        <cfvo type="percent" val="0"/>
        <cfvo type="num" val="$G$11" gte="0"/>
        <cfvo type="num" val="$G$11" gte="0"/>
      </iconSet>
    </cfRule>
  </conditionalFormatting>
  <conditionalFormatting sqref="G12">
    <cfRule type="iconSet" priority="6">
      <iconSet iconSet="3Symbols" reverse="1">
        <cfvo type="percent" val="0"/>
        <cfvo type="num" val="$G$13" gte="0"/>
        <cfvo type="num" val="$G$13" gte="0"/>
      </iconSet>
    </cfRule>
  </conditionalFormatting>
  <conditionalFormatting sqref="G10:I13">
    <cfRule type="expression" dxfId="61" priority="19">
      <formula>MOD(ROW(),2)=0</formula>
    </cfRule>
  </conditionalFormatting>
  <conditionalFormatting sqref="H10">
    <cfRule type="iconSet" priority="13">
      <iconSet iconSet="3Symbols" reverse="1">
        <cfvo type="percent" val="0"/>
        <cfvo type="num" val="$H$11" gte="0"/>
        <cfvo type="num" val="$H$11" gte="0"/>
      </iconSet>
    </cfRule>
  </conditionalFormatting>
  <conditionalFormatting sqref="H12">
    <cfRule type="iconSet" priority="5">
      <iconSet iconSet="3Symbols" reverse="1">
        <cfvo type="percent" val="0"/>
        <cfvo type="num" val="$H$13" gte="0"/>
        <cfvo type="num" val="$H$13" gte="0"/>
      </iconSet>
    </cfRule>
  </conditionalFormatting>
  <conditionalFormatting sqref="I10">
    <cfRule type="iconSet" priority="12">
      <iconSet iconSet="3Symbols" reverse="1">
        <cfvo type="percent" val="0"/>
        <cfvo type="num" val="$I$11" gte="0"/>
        <cfvo type="num" val="$I$11" gte="0"/>
      </iconSet>
    </cfRule>
  </conditionalFormatting>
  <conditionalFormatting sqref="I12">
    <cfRule type="iconSet" priority="4">
      <iconSet iconSet="3Symbols" reverse="1">
        <cfvo type="percent" val="0"/>
        <cfvo type="num" val="$I$13" gte="0"/>
        <cfvo type="num" val="$I$13" gte="0"/>
      </iconSet>
    </cfRule>
  </conditionalFormatting>
  <conditionalFormatting sqref="D10:D13">
    <cfRule type="expression" dxfId="60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Planilha8"/>
  <dimension ref="B1:G7"/>
  <sheetViews>
    <sheetView showGridLines="0" showRowColHeaders="0" zoomScale="70" zoomScaleNormal="70" workbookViewId="0"/>
  </sheetViews>
  <sheetFormatPr defaultColWidth="0.85546875" defaultRowHeight="15" customHeight="1" x14ac:dyDescent="0.25"/>
  <cols>
    <col min="1" max="1" width="4.140625" customWidth="1"/>
    <col min="2" max="2" width="28.28515625" bestFit="1" customWidth="1"/>
    <col min="3" max="3" width="13.42578125" bestFit="1" customWidth="1"/>
    <col min="4" max="4" width="10.85546875" customWidth="1"/>
    <col min="5" max="5" width="13.85546875" bestFit="1" customWidth="1"/>
    <col min="6" max="6" width="13.42578125" bestFit="1" customWidth="1"/>
    <col min="7" max="7" width="11.140625" customWidth="1"/>
    <col min="8" max="8" width="13.85546875" bestFit="1" customWidth="1"/>
    <col min="9" max="9" width="8.42578125" customWidth="1"/>
    <col min="10" max="10" width="9.42578125" customWidth="1"/>
    <col min="11" max="201" width="9.85546875" customWidth="1"/>
  </cols>
  <sheetData>
    <row r="1" spans="2:7" x14ac:dyDescent="0.25">
      <c r="B1" s="382"/>
      <c r="C1" s="383"/>
      <c r="D1" s="383"/>
      <c r="E1" s="383"/>
      <c r="F1" s="383"/>
      <c r="G1" s="383"/>
    </row>
    <row r="2" spans="2:7" x14ac:dyDescent="0.25">
      <c r="B2" s="383"/>
      <c r="C2" s="383"/>
      <c r="D2" s="383"/>
      <c r="E2" s="383"/>
      <c r="F2" s="383"/>
      <c r="G2" s="383"/>
    </row>
    <row r="3" spans="2:7" x14ac:dyDescent="0.25">
      <c r="B3" s="383"/>
      <c r="C3" s="383"/>
      <c r="D3" s="383"/>
      <c r="E3" s="383"/>
      <c r="F3" s="383"/>
      <c r="G3" s="383"/>
    </row>
    <row r="4" spans="2:7" x14ac:dyDescent="0.25">
      <c r="B4" s="383"/>
      <c r="C4" s="383"/>
      <c r="D4" s="383"/>
      <c r="E4" s="383"/>
      <c r="F4" s="383"/>
      <c r="G4" s="383"/>
    </row>
    <row r="5" spans="2:7" x14ac:dyDescent="0.25">
      <c r="B5" s="383"/>
      <c r="C5" s="383"/>
      <c r="D5" s="383"/>
      <c r="E5" s="383"/>
      <c r="F5" s="383"/>
      <c r="G5" s="383"/>
    </row>
    <row r="6" spans="2:7" x14ac:dyDescent="0.25">
      <c r="B6" s="383"/>
      <c r="C6" s="383"/>
      <c r="D6" s="383"/>
      <c r="E6" s="383"/>
      <c r="F6" s="383"/>
      <c r="G6" s="383"/>
    </row>
    <row r="7" spans="2:7" x14ac:dyDescent="0.25">
      <c r="B7" s="383"/>
      <c r="C7" s="383"/>
      <c r="D7" s="383"/>
      <c r="E7" s="383"/>
      <c r="F7" s="383"/>
      <c r="G7" s="383"/>
    </row>
  </sheetData>
  <mergeCells count="1">
    <mergeCell ref="B1:G7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Planilha9"/>
  <dimension ref="A1:Y48"/>
  <sheetViews>
    <sheetView showGridLines="0" showRowColHeaders="0" zoomScale="70" zoomScaleNormal="70" workbookViewId="0"/>
  </sheetViews>
  <sheetFormatPr defaultColWidth="8.7109375" defaultRowHeight="18.75" x14ac:dyDescent="0.25"/>
  <cols>
    <col min="1" max="1" width="9.85546875" customWidth="1"/>
    <col min="2" max="2" width="59.7109375" customWidth="1"/>
    <col min="3" max="3" width="11.7109375" customWidth="1"/>
    <col min="4" max="4" width="11.85546875" customWidth="1"/>
    <col min="5" max="5" width="11.85546875" style="121" bestFit="1" customWidth="1"/>
    <col min="6" max="6" width="11.85546875" style="121" customWidth="1"/>
    <col min="7" max="7" width="11.140625" customWidth="1"/>
    <col min="8" max="10" width="10.28515625" bestFit="1" customWidth="1"/>
    <col min="11" max="11" width="11.28515625" bestFit="1" customWidth="1"/>
    <col min="12" max="14" width="10.28515625" bestFit="1" customWidth="1"/>
    <col min="15" max="15" width="11.28515625" bestFit="1" customWidth="1"/>
    <col min="16" max="18" width="10.28515625" bestFit="1" customWidth="1"/>
    <col min="19" max="19" width="11.28515625" bestFit="1" customWidth="1"/>
    <col min="20" max="22" width="10.28515625" bestFit="1" customWidth="1"/>
    <col min="23" max="23" width="11.28515625" bestFit="1" customWidth="1"/>
    <col min="24" max="25" width="10.28515625" bestFit="1" customWidth="1"/>
  </cols>
  <sheetData>
    <row r="1" spans="1:25" ht="15" customHeight="1" x14ac:dyDescent="0.25">
      <c r="B1" s="121"/>
      <c r="C1" s="121"/>
      <c r="D1" s="121"/>
      <c r="I1" s="121"/>
      <c r="J1" s="121"/>
      <c r="K1" s="121"/>
      <c r="L1" s="121"/>
    </row>
    <row r="2" spans="1:25" ht="15" customHeight="1" x14ac:dyDescent="0.25">
      <c r="B2" s="121"/>
      <c r="C2" s="121"/>
      <c r="D2" s="121"/>
      <c r="I2" s="121"/>
      <c r="J2" s="121"/>
      <c r="K2" s="121"/>
      <c r="L2" s="121"/>
    </row>
    <row r="3" spans="1:25" ht="15" customHeight="1" x14ac:dyDescent="0.25">
      <c r="B3" s="121"/>
      <c r="C3" s="121"/>
      <c r="D3" s="121"/>
      <c r="I3" s="121"/>
      <c r="J3" s="121"/>
      <c r="K3" s="121"/>
      <c r="L3" s="121"/>
    </row>
    <row r="4" spans="1:25" ht="15" customHeight="1" x14ac:dyDescent="0.25">
      <c r="B4" s="121"/>
      <c r="C4" s="121"/>
      <c r="D4" s="121"/>
      <c r="I4" s="121"/>
      <c r="J4" s="121"/>
      <c r="K4" s="121"/>
      <c r="L4" s="121"/>
    </row>
    <row r="5" spans="1:25" ht="15" customHeight="1" x14ac:dyDescent="0.25">
      <c r="B5" s="121"/>
      <c r="C5" s="121"/>
      <c r="D5" s="121"/>
      <c r="I5" s="121"/>
      <c r="J5" s="121"/>
      <c r="K5" s="121"/>
      <c r="L5" s="121"/>
    </row>
    <row r="6" spans="1:25" ht="15" customHeight="1" x14ac:dyDescent="0.25">
      <c r="B6" s="121"/>
      <c r="C6" s="121"/>
      <c r="D6" s="121"/>
      <c r="I6" s="121"/>
      <c r="J6" s="121"/>
      <c r="K6" s="121"/>
      <c r="L6" s="121"/>
    </row>
    <row r="7" spans="1:25" ht="15" customHeight="1" x14ac:dyDescent="0.25">
      <c r="B7" s="121"/>
      <c r="C7" s="121"/>
      <c r="D7" s="121"/>
      <c r="I7" s="121"/>
      <c r="J7" s="121"/>
      <c r="K7" s="121"/>
      <c r="L7" s="121"/>
    </row>
    <row r="8" spans="1:25" ht="15" customHeight="1" x14ac:dyDescent="0.25">
      <c r="B8" s="121"/>
      <c r="C8" s="121"/>
      <c r="D8" s="121"/>
      <c r="I8" s="121"/>
      <c r="J8" s="121"/>
      <c r="K8" s="121"/>
      <c r="L8" s="121"/>
    </row>
    <row r="9" spans="1:25" ht="24.6" customHeight="1" x14ac:dyDescent="0.25">
      <c r="A9" s="35"/>
      <c r="B9" s="13" t="s">
        <v>130</v>
      </c>
      <c r="C9" s="13"/>
      <c r="D9" s="13"/>
      <c r="I9" s="35"/>
      <c r="J9" s="35"/>
      <c r="K9" s="35"/>
    </row>
    <row r="10" spans="1:25" ht="24.6" customHeight="1" x14ac:dyDescent="0.25">
      <c r="A10" s="35"/>
      <c r="B10" s="386"/>
      <c r="C10" s="378" t="s">
        <v>539</v>
      </c>
      <c r="D10" s="378"/>
      <c r="F10" s="377" t="s">
        <v>131</v>
      </c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</row>
    <row r="11" spans="1:25" ht="37.5" customHeight="1" x14ac:dyDescent="0.25">
      <c r="A11" s="35"/>
      <c r="B11" s="387"/>
      <c r="C11" s="157" t="s">
        <v>563</v>
      </c>
      <c r="D11" s="157" t="s">
        <v>134</v>
      </c>
      <c r="F11" s="157" t="s">
        <v>548</v>
      </c>
      <c r="G11" s="157" t="s">
        <v>540</v>
      </c>
      <c r="H11" s="157" t="s">
        <v>133</v>
      </c>
      <c r="I11" s="157" t="s">
        <v>134</v>
      </c>
      <c r="J11" s="157" t="s">
        <v>135</v>
      </c>
      <c r="K11" s="157">
        <v>2022</v>
      </c>
      <c r="L11" s="157" t="s">
        <v>136</v>
      </c>
      <c r="M11" s="157" t="s">
        <v>137</v>
      </c>
      <c r="N11" s="157" t="s">
        <v>138</v>
      </c>
      <c r="O11" s="157">
        <v>2021</v>
      </c>
      <c r="P11" s="157" t="s">
        <v>139</v>
      </c>
      <c r="Q11" s="157" t="s">
        <v>140</v>
      </c>
      <c r="R11" s="157" t="s">
        <v>141</v>
      </c>
      <c r="S11" s="157">
        <v>2020</v>
      </c>
      <c r="T11" s="157" t="s">
        <v>142</v>
      </c>
      <c r="U11" s="157" t="s">
        <v>143</v>
      </c>
      <c r="V11" s="157" t="s">
        <v>144</v>
      </c>
      <c r="W11" s="157">
        <v>2019</v>
      </c>
      <c r="X11" s="157" t="s">
        <v>145</v>
      </c>
      <c r="Y11" s="157" t="s">
        <v>146</v>
      </c>
    </row>
    <row r="12" spans="1:25" ht="24.6" customHeight="1" x14ac:dyDescent="0.25">
      <c r="A12" s="35"/>
      <c r="B12" s="40" t="s">
        <v>177</v>
      </c>
      <c r="C12" s="75">
        <v>8144077</v>
      </c>
      <c r="D12" s="75">
        <v>7528639</v>
      </c>
      <c r="F12" s="75">
        <v>8019144</v>
      </c>
      <c r="G12" s="75">
        <v>8917462</v>
      </c>
      <c r="H12" s="75">
        <v>8130020</v>
      </c>
      <c r="I12" s="75">
        <v>7528639</v>
      </c>
      <c r="J12" s="75">
        <v>7095344</v>
      </c>
      <c r="K12" s="75">
        <v>30158388</v>
      </c>
      <c r="L12" s="75">
        <v>7105782</v>
      </c>
      <c r="M12" s="75">
        <v>7844552</v>
      </c>
      <c r="N12" s="75">
        <v>8304056</v>
      </c>
      <c r="O12" s="75">
        <v>29619254</v>
      </c>
      <c r="P12" s="75">
        <v>7740212</v>
      </c>
      <c r="Q12" s="75">
        <v>6837733</v>
      </c>
      <c r="R12" s="75">
        <v>6951837</v>
      </c>
      <c r="S12" s="75">
        <v>26432081</v>
      </c>
      <c r="T12" s="75">
        <v>6692911</v>
      </c>
      <c r="U12" s="75">
        <v>5920014</v>
      </c>
      <c r="V12" s="75">
        <v>6767438</v>
      </c>
      <c r="W12" s="75">
        <v>26927559</v>
      </c>
      <c r="X12" s="75">
        <v>6875079</v>
      </c>
      <c r="Y12" s="75">
        <v>6327737</v>
      </c>
    </row>
    <row r="13" spans="1:25" x14ac:dyDescent="0.25">
      <c r="A13" s="35"/>
      <c r="B13" s="76" t="s">
        <v>178</v>
      </c>
      <c r="C13" s="77">
        <v>1251554</v>
      </c>
      <c r="D13" s="77">
        <v>1118367</v>
      </c>
      <c r="F13" s="77">
        <v>1169299</v>
      </c>
      <c r="G13" s="77">
        <v>1192593</v>
      </c>
      <c r="H13" s="77">
        <v>1125693</v>
      </c>
      <c r="I13" s="77">
        <v>1118367</v>
      </c>
      <c r="J13" s="77">
        <v>980398</v>
      </c>
      <c r="K13" s="77">
        <v>3684574</v>
      </c>
      <c r="L13" s="77">
        <v>985150</v>
      </c>
      <c r="M13" s="77">
        <v>912976</v>
      </c>
      <c r="N13" s="77">
        <v>859444</v>
      </c>
      <c r="O13" s="77">
        <v>3448318</v>
      </c>
      <c r="P13" s="77">
        <v>886721</v>
      </c>
      <c r="Q13" s="77">
        <v>820873</v>
      </c>
      <c r="R13" s="77">
        <v>836735</v>
      </c>
      <c r="S13" s="77">
        <v>3021614</v>
      </c>
      <c r="T13" s="77">
        <v>793698</v>
      </c>
      <c r="U13" s="77">
        <v>674737</v>
      </c>
      <c r="V13" s="77">
        <v>724371</v>
      </c>
      <c r="W13" s="77">
        <v>2722444</v>
      </c>
      <c r="X13" s="77">
        <v>711185</v>
      </c>
      <c r="Y13" s="77">
        <v>635675</v>
      </c>
    </row>
    <row r="14" spans="1:25" ht="24.6" customHeight="1" x14ac:dyDescent="0.25">
      <c r="A14" s="35"/>
      <c r="B14" s="40" t="s">
        <v>179</v>
      </c>
      <c r="C14" s="75">
        <v>-56556</v>
      </c>
      <c r="D14" s="75">
        <v>-164649</v>
      </c>
      <c r="F14" s="75">
        <v>75675</v>
      </c>
      <c r="G14" s="75">
        <v>-149466</v>
      </c>
      <c r="H14" s="75">
        <v>80237</v>
      </c>
      <c r="I14" s="75">
        <v>-164649</v>
      </c>
      <c r="J14" s="75">
        <v>20840</v>
      </c>
      <c r="K14" s="75">
        <v>-1146560</v>
      </c>
      <c r="L14" s="75">
        <v>-395653</v>
      </c>
      <c r="M14" s="75">
        <v>-271933</v>
      </c>
      <c r="N14" s="75">
        <v>-700107</v>
      </c>
      <c r="O14" s="75">
        <v>2146043</v>
      </c>
      <c r="P14" s="75">
        <v>1116248</v>
      </c>
      <c r="Q14" s="75">
        <v>453744</v>
      </c>
      <c r="R14" s="75">
        <v>338907</v>
      </c>
      <c r="S14" s="75">
        <v>454741</v>
      </c>
      <c r="T14" s="75">
        <v>17192</v>
      </c>
      <c r="U14" s="75">
        <v>136254</v>
      </c>
      <c r="V14" s="75">
        <v>-54602</v>
      </c>
      <c r="W14" s="75">
        <v>57988</v>
      </c>
      <c r="X14" s="75">
        <v>-35122</v>
      </c>
      <c r="Y14" s="75">
        <v>-40109</v>
      </c>
    </row>
    <row r="15" spans="1:25" ht="26.25" customHeight="1" x14ac:dyDescent="0.25">
      <c r="A15" s="35"/>
      <c r="B15" s="76" t="s">
        <v>180</v>
      </c>
      <c r="C15" s="77">
        <v>190186</v>
      </c>
      <c r="D15" s="77">
        <v>561518</v>
      </c>
      <c r="F15" s="77">
        <v>322666</v>
      </c>
      <c r="G15" s="77">
        <v>339403</v>
      </c>
      <c r="H15" s="77">
        <v>311748</v>
      </c>
      <c r="I15" s="77">
        <v>561518</v>
      </c>
      <c r="J15" s="77">
        <v>695989</v>
      </c>
      <c r="K15" s="77">
        <v>2360056</v>
      </c>
      <c r="L15" s="77">
        <v>706087</v>
      </c>
      <c r="M15" s="77">
        <v>498773</v>
      </c>
      <c r="N15" s="77">
        <v>436718</v>
      </c>
      <c r="O15" s="77">
        <v>1316995</v>
      </c>
      <c r="P15" s="77">
        <v>445089</v>
      </c>
      <c r="Q15" s="77">
        <v>252538</v>
      </c>
      <c r="R15" s="77">
        <v>178373</v>
      </c>
      <c r="S15" s="77">
        <v>266320</v>
      </c>
      <c r="T15" s="77">
        <v>83346</v>
      </c>
      <c r="U15" s="77" t="s">
        <v>5</v>
      </c>
      <c r="V15" s="77" t="s">
        <v>5</v>
      </c>
      <c r="W15" s="77" t="s">
        <v>5</v>
      </c>
      <c r="X15" s="77" t="s">
        <v>5</v>
      </c>
      <c r="Y15" s="77"/>
    </row>
    <row r="16" spans="1:25" ht="24.6" customHeight="1" x14ac:dyDescent="0.25">
      <c r="A16" s="35"/>
      <c r="B16" s="40" t="s">
        <v>181</v>
      </c>
      <c r="C16" s="75"/>
      <c r="D16" s="75"/>
      <c r="F16" s="75"/>
      <c r="G16" s="75">
        <v>0</v>
      </c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75"/>
      <c r="T16" s="75"/>
      <c r="U16" s="75"/>
      <c r="V16" s="75"/>
      <c r="W16" s="75"/>
      <c r="X16" s="75"/>
      <c r="Y16" s="75"/>
    </row>
    <row r="17" spans="1:25" ht="24.6" customHeight="1" x14ac:dyDescent="0.25">
      <c r="A17" s="35"/>
      <c r="B17" s="76" t="s">
        <v>182</v>
      </c>
      <c r="C17" s="77">
        <v>79716</v>
      </c>
      <c r="D17" s="77">
        <v>95764</v>
      </c>
      <c r="F17" s="77">
        <v>66562</v>
      </c>
      <c r="G17" s="77">
        <v>93755</v>
      </c>
      <c r="H17" s="77">
        <v>95828</v>
      </c>
      <c r="I17" s="77">
        <v>95764</v>
      </c>
      <c r="J17" s="77">
        <v>87740</v>
      </c>
      <c r="K17" s="77">
        <v>413044</v>
      </c>
      <c r="L17" s="77">
        <v>105628</v>
      </c>
      <c r="M17" s="77">
        <v>126485</v>
      </c>
      <c r="N17" s="77">
        <v>83787</v>
      </c>
      <c r="O17" s="77">
        <v>354910</v>
      </c>
      <c r="P17" s="77">
        <v>72139</v>
      </c>
      <c r="Q17" s="77">
        <v>75036</v>
      </c>
      <c r="R17" s="77">
        <v>89162</v>
      </c>
      <c r="S17" s="77">
        <v>279263</v>
      </c>
      <c r="T17" s="77">
        <v>89863</v>
      </c>
      <c r="U17" s="77">
        <v>60715</v>
      </c>
      <c r="V17" s="77">
        <v>76597</v>
      </c>
      <c r="W17" s="77">
        <v>351837</v>
      </c>
      <c r="X17" s="77"/>
      <c r="Y17" s="77"/>
    </row>
    <row r="18" spans="1:25" ht="24.6" customHeight="1" x14ac:dyDescent="0.25">
      <c r="A18" s="35"/>
      <c r="B18" s="309" t="s">
        <v>551</v>
      </c>
      <c r="C18" s="75">
        <v>104891</v>
      </c>
      <c r="D18" s="75">
        <v>69802</v>
      </c>
      <c r="F18" s="75">
        <v>63394</v>
      </c>
      <c r="G18" s="75">
        <v>92883</v>
      </c>
      <c r="H18" s="75">
        <v>39394</v>
      </c>
      <c r="I18" s="75">
        <v>69802</v>
      </c>
      <c r="J18" s="75">
        <v>39403</v>
      </c>
      <c r="K18" s="75">
        <v>407193</v>
      </c>
      <c r="L18" s="75">
        <v>100492</v>
      </c>
      <c r="M18" s="75">
        <v>100873</v>
      </c>
      <c r="N18" s="75">
        <v>68395</v>
      </c>
      <c r="O18" s="75">
        <v>251973</v>
      </c>
      <c r="P18" s="75">
        <v>75695</v>
      </c>
      <c r="Q18" s="75">
        <v>39682</v>
      </c>
      <c r="R18" s="75">
        <v>22451</v>
      </c>
      <c r="S18" s="75">
        <v>201451</v>
      </c>
      <c r="T18" s="75">
        <v>63363</v>
      </c>
      <c r="U18" s="75">
        <v>42815</v>
      </c>
      <c r="V18" s="75">
        <v>61241</v>
      </c>
      <c r="W18" s="75">
        <v>311759</v>
      </c>
      <c r="X18" s="75">
        <v>67169</v>
      </c>
      <c r="Y18" s="75">
        <v>54902</v>
      </c>
    </row>
    <row r="19" spans="1:25" x14ac:dyDescent="0.25">
      <c r="A19" s="35"/>
      <c r="B19" s="76" t="s">
        <v>183</v>
      </c>
      <c r="C19" s="77">
        <v>134430</v>
      </c>
      <c r="D19" s="77">
        <v>107485</v>
      </c>
      <c r="F19" s="77">
        <v>151392</v>
      </c>
      <c r="G19" s="77">
        <v>123340</v>
      </c>
      <c r="H19" s="77">
        <v>115693</v>
      </c>
      <c r="I19" s="77">
        <v>107485</v>
      </c>
      <c r="J19" s="77">
        <v>177254</v>
      </c>
      <c r="K19" s="77">
        <v>575449</v>
      </c>
      <c r="L19" s="77">
        <v>50300</v>
      </c>
      <c r="M19" s="77">
        <v>204563</v>
      </c>
      <c r="N19" s="77">
        <v>191945</v>
      </c>
      <c r="O19" s="77">
        <v>660457</v>
      </c>
      <c r="P19" s="77">
        <v>165300</v>
      </c>
      <c r="Q19" s="77">
        <v>139867</v>
      </c>
      <c r="R19" s="77">
        <v>157255</v>
      </c>
      <c r="S19" s="77">
        <v>438393</v>
      </c>
      <c r="T19" s="77">
        <v>116277</v>
      </c>
      <c r="U19" s="77">
        <v>43672</v>
      </c>
      <c r="V19" s="77">
        <v>71580</v>
      </c>
      <c r="W19" s="77">
        <v>327995</v>
      </c>
      <c r="X19" s="77"/>
      <c r="Y19" s="77"/>
    </row>
    <row r="20" spans="1:25" ht="26.25" customHeight="1" x14ac:dyDescent="0.25">
      <c r="A20" s="35"/>
      <c r="B20" s="294" t="s">
        <v>184</v>
      </c>
      <c r="C20" s="75">
        <v>0</v>
      </c>
      <c r="D20" s="75">
        <v>0</v>
      </c>
      <c r="F20" s="75">
        <v>0</v>
      </c>
      <c r="G20" s="75">
        <v>0</v>
      </c>
      <c r="H20" s="75" t="s">
        <v>5</v>
      </c>
      <c r="I20" s="75" t="s">
        <v>5</v>
      </c>
      <c r="J20" s="75" t="s">
        <v>5</v>
      </c>
      <c r="K20" s="75" t="s">
        <v>5</v>
      </c>
      <c r="L20" s="75" t="s">
        <v>5</v>
      </c>
      <c r="M20" s="75" t="s">
        <v>5</v>
      </c>
      <c r="N20" s="75" t="s">
        <v>5</v>
      </c>
      <c r="O20" s="75" t="s">
        <v>5</v>
      </c>
      <c r="P20" s="75" t="s">
        <v>5</v>
      </c>
      <c r="Q20" s="75" t="s">
        <v>5</v>
      </c>
      <c r="R20" s="75" t="s">
        <v>5</v>
      </c>
      <c r="S20" s="75" t="s">
        <v>5</v>
      </c>
      <c r="T20" s="75" t="s">
        <v>5</v>
      </c>
      <c r="U20" s="75" t="s">
        <v>5</v>
      </c>
      <c r="V20" s="75" t="s">
        <v>5</v>
      </c>
      <c r="W20" s="75" t="s">
        <v>5</v>
      </c>
      <c r="X20" s="75">
        <v>132134</v>
      </c>
      <c r="Y20" s="75">
        <v>125564</v>
      </c>
    </row>
    <row r="21" spans="1:25" x14ac:dyDescent="0.25">
      <c r="A21" s="35"/>
      <c r="B21" s="295" t="s">
        <v>185</v>
      </c>
      <c r="C21" s="77">
        <v>0</v>
      </c>
      <c r="D21" s="77">
        <v>0</v>
      </c>
      <c r="F21" s="77">
        <v>0</v>
      </c>
      <c r="G21" s="77" t="s">
        <v>5</v>
      </c>
      <c r="H21" s="77" t="s">
        <v>5</v>
      </c>
      <c r="I21" s="77" t="s">
        <v>5</v>
      </c>
      <c r="J21" s="77" t="s">
        <v>5</v>
      </c>
      <c r="K21" s="77" t="s">
        <v>5</v>
      </c>
      <c r="L21" s="77" t="s">
        <v>5</v>
      </c>
      <c r="M21" s="77" t="s">
        <v>5</v>
      </c>
      <c r="N21" s="77" t="s">
        <v>5</v>
      </c>
      <c r="O21" s="77" t="s">
        <v>5</v>
      </c>
      <c r="P21" s="77" t="s">
        <v>5</v>
      </c>
      <c r="Q21" s="77" t="s">
        <v>5</v>
      </c>
      <c r="R21" s="77" t="s">
        <v>5</v>
      </c>
      <c r="S21" s="77" t="s">
        <v>5</v>
      </c>
      <c r="T21" s="77" t="s">
        <v>5</v>
      </c>
      <c r="U21" s="77" t="s">
        <v>5</v>
      </c>
      <c r="V21" s="77" t="s">
        <v>5</v>
      </c>
      <c r="W21" s="77" t="s">
        <v>5</v>
      </c>
      <c r="X21" s="77">
        <v>33637</v>
      </c>
      <c r="Y21" s="77">
        <v>57921</v>
      </c>
    </row>
    <row r="22" spans="1:25" ht="31.5" customHeight="1" x14ac:dyDescent="0.25">
      <c r="A22" s="35"/>
      <c r="B22" s="294" t="s">
        <v>186</v>
      </c>
      <c r="C22" s="75">
        <v>20596</v>
      </c>
      <c r="D22" s="75">
        <v>23469</v>
      </c>
      <c r="F22" s="75">
        <v>21434</v>
      </c>
      <c r="G22" s="75">
        <v>22783</v>
      </c>
      <c r="H22" s="75">
        <v>23867</v>
      </c>
      <c r="I22" s="75">
        <v>23469</v>
      </c>
      <c r="J22" s="75">
        <v>22476</v>
      </c>
      <c r="K22" s="75">
        <v>47028</v>
      </c>
      <c r="L22" s="75">
        <v>24783</v>
      </c>
      <c r="M22" s="75" t="s">
        <v>5</v>
      </c>
      <c r="N22" s="75" t="s">
        <v>187</v>
      </c>
      <c r="O22" s="75" t="s">
        <v>5</v>
      </c>
      <c r="P22" s="75" t="s">
        <v>5</v>
      </c>
      <c r="Q22" s="75"/>
      <c r="R22" s="75"/>
      <c r="S22" s="75"/>
      <c r="T22" s="75"/>
      <c r="U22" s="75"/>
      <c r="V22" s="75"/>
      <c r="W22" s="75"/>
      <c r="X22" s="75"/>
      <c r="Y22" s="75"/>
    </row>
    <row r="23" spans="1:25" ht="24.6" customHeight="1" x14ac:dyDescent="0.25">
      <c r="A23" s="35"/>
      <c r="B23" s="295" t="s">
        <v>188</v>
      </c>
      <c r="C23" s="77">
        <v>1154213</v>
      </c>
      <c r="D23" s="77">
        <v>915822</v>
      </c>
      <c r="F23" s="77">
        <v>893427</v>
      </c>
      <c r="G23" s="77">
        <v>1141888</v>
      </c>
      <c r="H23" s="77">
        <v>1165087</v>
      </c>
      <c r="I23" s="77">
        <v>915822</v>
      </c>
      <c r="J23" s="77">
        <v>676448</v>
      </c>
      <c r="K23" s="77">
        <v>3245688</v>
      </c>
      <c r="L23" s="77">
        <v>1063302</v>
      </c>
      <c r="M23" s="77">
        <v>695971</v>
      </c>
      <c r="N23" s="77">
        <v>440565</v>
      </c>
      <c r="O23" s="77">
        <v>1852263</v>
      </c>
      <c r="P23" s="77">
        <v>497932</v>
      </c>
      <c r="Q23" s="77">
        <v>409128</v>
      </c>
      <c r="R23" s="77">
        <v>329309</v>
      </c>
      <c r="S23" s="77">
        <v>1434823</v>
      </c>
      <c r="T23" s="77">
        <v>397295</v>
      </c>
      <c r="U23" s="77">
        <v>346559</v>
      </c>
      <c r="V23" s="77">
        <v>263073</v>
      </c>
      <c r="W23" s="77">
        <v>979308</v>
      </c>
      <c r="X23" s="77">
        <v>274334</v>
      </c>
      <c r="Y23" s="77">
        <v>211205</v>
      </c>
    </row>
    <row r="24" spans="1:25" ht="24.6" customHeight="1" x14ac:dyDescent="0.25">
      <c r="A24" s="35"/>
      <c r="B24" s="294" t="s">
        <v>189</v>
      </c>
      <c r="C24" s="75">
        <v>22258</v>
      </c>
      <c r="D24" s="75">
        <v>46731</v>
      </c>
      <c r="F24" s="75">
        <v>30951</v>
      </c>
      <c r="G24" s="75">
        <v>22086</v>
      </c>
      <c r="H24" s="75">
        <v>49577</v>
      </c>
      <c r="I24" s="75">
        <v>46731</v>
      </c>
      <c r="J24" s="75">
        <v>30844</v>
      </c>
      <c r="K24" s="75">
        <v>39369</v>
      </c>
      <c r="L24" s="75">
        <v>-10361</v>
      </c>
      <c r="M24" s="75">
        <v>19030</v>
      </c>
      <c r="N24" s="75">
        <v>19732</v>
      </c>
      <c r="O24" s="75">
        <v>53751</v>
      </c>
      <c r="P24" s="75">
        <v>17933</v>
      </c>
      <c r="Q24" s="75">
        <v>9120</v>
      </c>
      <c r="R24" s="75">
        <v>10906</v>
      </c>
      <c r="S24" s="75">
        <v>15464</v>
      </c>
      <c r="T24" s="75">
        <v>-697</v>
      </c>
      <c r="U24" s="75">
        <v>-1679</v>
      </c>
      <c r="V24" s="75">
        <v>724</v>
      </c>
      <c r="W24" s="75">
        <v>17839</v>
      </c>
      <c r="X24" s="75">
        <v>1722</v>
      </c>
      <c r="Y24" s="75">
        <v>2927</v>
      </c>
    </row>
    <row r="25" spans="1:25" ht="24.6" customHeight="1" x14ac:dyDescent="0.25">
      <c r="A25" s="35"/>
      <c r="B25" s="295" t="s">
        <v>190</v>
      </c>
      <c r="C25" s="77">
        <v>107011</v>
      </c>
      <c r="D25" s="77">
        <v>94837</v>
      </c>
      <c r="F25" s="77">
        <v>128625</v>
      </c>
      <c r="G25" s="77">
        <v>97046</v>
      </c>
      <c r="H25" s="77">
        <v>85073</v>
      </c>
      <c r="I25" s="77">
        <v>94837</v>
      </c>
      <c r="J25" s="77">
        <v>134766</v>
      </c>
      <c r="K25" s="77">
        <v>466857</v>
      </c>
      <c r="L25" s="77">
        <v>59722</v>
      </c>
      <c r="M25" s="77">
        <v>161268</v>
      </c>
      <c r="N25" s="77">
        <v>131595</v>
      </c>
      <c r="O25" s="77">
        <v>523105</v>
      </c>
      <c r="P25" s="77">
        <v>125438</v>
      </c>
      <c r="Q25" s="77">
        <v>118844</v>
      </c>
      <c r="R25" s="77">
        <v>124560</v>
      </c>
      <c r="S25" s="77">
        <v>347057</v>
      </c>
      <c r="T25" s="77">
        <v>81881</v>
      </c>
      <c r="U25" s="77">
        <v>46520</v>
      </c>
      <c r="V25" s="77">
        <v>99892</v>
      </c>
      <c r="W25" s="77">
        <v>318266</v>
      </c>
      <c r="X25" s="77">
        <v>67918</v>
      </c>
      <c r="Y25" s="77">
        <v>95363</v>
      </c>
    </row>
    <row r="26" spans="1:25" ht="24.75" customHeight="1" x14ac:dyDescent="0.25">
      <c r="A26" s="35"/>
      <c r="B26" s="294" t="s">
        <v>191</v>
      </c>
      <c r="C26" s="75">
        <v>14380</v>
      </c>
      <c r="D26" s="75">
        <v>14002</v>
      </c>
      <c r="F26" s="75">
        <v>40757</v>
      </c>
      <c r="G26" s="75">
        <v>65949</v>
      </c>
      <c r="H26" s="75">
        <v>36195</v>
      </c>
      <c r="I26" s="75">
        <v>14002</v>
      </c>
      <c r="J26" s="75">
        <v>29363</v>
      </c>
      <c r="K26" s="75">
        <v>182893</v>
      </c>
      <c r="L26" s="75">
        <v>134890</v>
      </c>
      <c r="M26" s="75">
        <v>16889</v>
      </c>
      <c r="N26" s="75">
        <v>-18670</v>
      </c>
      <c r="O26" s="75">
        <v>1156503</v>
      </c>
      <c r="P26" s="75">
        <v>425502</v>
      </c>
      <c r="Q26" s="75">
        <v>1043</v>
      </c>
      <c r="R26" s="75">
        <v>107045</v>
      </c>
      <c r="S26" s="75">
        <v>153762</v>
      </c>
      <c r="T26" s="75">
        <v>59103</v>
      </c>
      <c r="U26" s="75">
        <v>7074</v>
      </c>
      <c r="V26" s="75">
        <v>87824</v>
      </c>
      <c r="W26" s="75">
        <v>431994</v>
      </c>
      <c r="X26" s="75">
        <v>9811</v>
      </c>
      <c r="Y26" s="75">
        <v>144821</v>
      </c>
    </row>
    <row r="27" spans="1:25" ht="24.6" customHeight="1" x14ac:dyDescent="0.25">
      <c r="A27" s="35"/>
      <c r="B27" s="295" t="s">
        <v>192</v>
      </c>
      <c r="C27" s="77">
        <v>0</v>
      </c>
      <c r="D27" s="77">
        <v>0</v>
      </c>
      <c r="F27" s="77" t="s">
        <v>5</v>
      </c>
      <c r="G27" s="77">
        <v>0</v>
      </c>
      <c r="H27" s="77" t="s">
        <v>5</v>
      </c>
      <c r="I27" s="77" t="s">
        <v>5</v>
      </c>
      <c r="J27" s="77">
        <v>-3766</v>
      </c>
      <c r="K27" s="77">
        <v>453131</v>
      </c>
      <c r="L27" s="77">
        <v>125463</v>
      </c>
      <c r="M27" s="77">
        <v>66855</v>
      </c>
      <c r="N27" s="77">
        <v>138994</v>
      </c>
      <c r="O27" s="77">
        <v>452896</v>
      </c>
      <c r="P27" s="77">
        <v>226249</v>
      </c>
      <c r="Q27" s="77" t="s">
        <v>5</v>
      </c>
      <c r="R27" s="77" t="s">
        <v>5</v>
      </c>
      <c r="S27" s="77">
        <v>234347</v>
      </c>
      <c r="T27" s="77">
        <v>47690</v>
      </c>
      <c r="U27" s="77">
        <v>41514</v>
      </c>
      <c r="V27" s="77"/>
      <c r="W27" s="77" t="s">
        <v>5</v>
      </c>
      <c r="X27" s="77" t="s">
        <v>5</v>
      </c>
      <c r="Y27" s="77" t="s">
        <v>5</v>
      </c>
    </row>
    <row r="28" spans="1:25" ht="24.6" customHeight="1" x14ac:dyDescent="0.25">
      <c r="A28" s="35"/>
      <c r="B28" s="294" t="s">
        <v>193</v>
      </c>
      <c r="C28" s="75">
        <v>972424</v>
      </c>
      <c r="D28" s="75">
        <v>1073563</v>
      </c>
      <c r="F28" s="75">
        <v>919648</v>
      </c>
      <c r="G28" s="75">
        <v>952998</v>
      </c>
      <c r="H28" s="75">
        <v>989284</v>
      </c>
      <c r="I28" s="75">
        <v>1073563</v>
      </c>
      <c r="J28" s="75">
        <v>1123570</v>
      </c>
      <c r="K28" s="75">
        <v>4529123</v>
      </c>
      <c r="L28" s="75">
        <v>1218147</v>
      </c>
      <c r="M28" s="75">
        <v>1113427</v>
      </c>
      <c r="N28" s="75">
        <v>956008</v>
      </c>
      <c r="O28" s="75">
        <v>3470406</v>
      </c>
      <c r="P28" s="75">
        <v>948680</v>
      </c>
      <c r="Q28" s="75">
        <v>838444</v>
      </c>
      <c r="R28" s="75">
        <v>705185</v>
      </c>
      <c r="S28" s="75">
        <v>2011084</v>
      </c>
      <c r="T28" s="75">
        <v>427940</v>
      </c>
      <c r="U28" s="75">
        <v>403227</v>
      </c>
      <c r="V28" s="75">
        <v>559660</v>
      </c>
      <c r="W28" s="75">
        <v>2298114</v>
      </c>
      <c r="X28" s="75">
        <v>581869</v>
      </c>
      <c r="Y28" s="75">
        <v>534955</v>
      </c>
    </row>
    <row r="29" spans="1:25" ht="24.6" customHeight="1" x14ac:dyDescent="0.25">
      <c r="A29" s="35"/>
      <c r="B29" s="295" t="s">
        <v>194</v>
      </c>
      <c r="C29" s="77">
        <v>-37084</v>
      </c>
      <c r="D29" s="77">
        <v>-32910</v>
      </c>
      <c r="F29" s="77">
        <v>-45927</v>
      </c>
      <c r="G29" s="77">
        <v>-46066</v>
      </c>
      <c r="H29" s="77">
        <v>-21480</v>
      </c>
      <c r="I29" s="77">
        <v>-32910</v>
      </c>
      <c r="J29" s="77">
        <v>-38469</v>
      </c>
      <c r="K29" s="77">
        <v>-94035</v>
      </c>
      <c r="L29" s="77">
        <v>-13668</v>
      </c>
      <c r="M29" s="77">
        <v>-19305</v>
      </c>
      <c r="N29" s="77">
        <v>-31894</v>
      </c>
      <c r="O29" s="77">
        <v>-70948</v>
      </c>
      <c r="P29" s="77">
        <v>-7454</v>
      </c>
      <c r="Q29" s="77">
        <v>-14335</v>
      </c>
      <c r="R29" s="77">
        <v>-30569</v>
      </c>
      <c r="S29" s="77">
        <v>-50532</v>
      </c>
      <c r="T29" s="77">
        <v>-4330</v>
      </c>
      <c r="U29" s="77">
        <v>-11918</v>
      </c>
      <c r="V29" s="77">
        <v>-17199</v>
      </c>
      <c r="W29" s="77">
        <v>-57897</v>
      </c>
      <c r="X29" s="77">
        <v>-7820</v>
      </c>
      <c r="Y29" s="77">
        <v>-12685</v>
      </c>
    </row>
    <row r="30" spans="1:25" x14ac:dyDescent="0.25">
      <c r="A30" s="35"/>
      <c r="B30" s="294" t="s">
        <v>195</v>
      </c>
      <c r="C30" s="75">
        <v>0</v>
      </c>
      <c r="D30" s="75">
        <v>0</v>
      </c>
      <c r="F30" s="75">
        <v>0</v>
      </c>
      <c r="G30" s="75">
        <v>0</v>
      </c>
      <c r="H30" s="75" t="s">
        <v>5</v>
      </c>
      <c r="I30" s="75" t="s">
        <v>5</v>
      </c>
      <c r="J30" s="75" t="s">
        <v>5</v>
      </c>
      <c r="K30" s="75" t="s">
        <v>5</v>
      </c>
      <c r="L30" s="75" t="s">
        <v>5</v>
      </c>
      <c r="M30" s="75" t="s">
        <v>5</v>
      </c>
      <c r="N30" s="75" t="s">
        <v>5</v>
      </c>
      <c r="O30" s="75">
        <v>153970</v>
      </c>
      <c r="P30" s="75" t="s">
        <v>5</v>
      </c>
      <c r="Q30" s="75">
        <v>153970</v>
      </c>
      <c r="R30" s="75" t="s">
        <v>5</v>
      </c>
      <c r="S30" s="75" t="s">
        <v>5</v>
      </c>
      <c r="T30" s="75" t="s">
        <v>5</v>
      </c>
      <c r="U30" s="75" t="s">
        <v>5</v>
      </c>
      <c r="V30" s="75" t="s">
        <v>5</v>
      </c>
      <c r="W30" s="75" t="s">
        <v>5</v>
      </c>
      <c r="X30" s="75" t="s">
        <v>5</v>
      </c>
      <c r="Y30" s="75" t="s">
        <v>5</v>
      </c>
    </row>
    <row r="31" spans="1:25" x14ac:dyDescent="0.25">
      <c r="B31" s="295" t="s">
        <v>196</v>
      </c>
      <c r="C31" s="77">
        <v>0</v>
      </c>
      <c r="D31" s="77">
        <v>0</v>
      </c>
      <c r="F31" s="77">
        <v>0</v>
      </c>
      <c r="G31" s="77" t="s">
        <v>5</v>
      </c>
      <c r="H31" s="77" t="s">
        <v>5</v>
      </c>
      <c r="I31" s="77" t="s">
        <v>5</v>
      </c>
      <c r="J31" s="77" t="s">
        <v>5</v>
      </c>
      <c r="K31" s="77" t="s">
        <v>5</v>
      </c>
      <c r="L31" s="77" t="s">
        <v>5</v>
      </c>
      <c r="M31" s="77" t="s">
        <v>5</v>
      </c>
      <c r="N31" s="77" t="s">
        <v>5</v>
      </c>
      <c r="O31" s="77" t="s">
        <v>5</v>
      </c>
      <c r="P31" s="77" t="s">
        <v>5</v>
      </c>
      <c r="Q31" s="77" t="s">
        <v>5</v>
      </c>
      <c r="R31" s="77" t="s">
        <v>5</v>
      </c>
      <c r="S31" s="77" t="s">
        <v>5</v>
      </c>
      <c r="T31" s="77" t="s">
        <v>5</v>
      </c>
      <c r="U31" s="77" t="s">
        <v>5</v>
      </c>
      <c r="V31" s="77" t="s">
        <v>5</v>
      </c>
      <c r="W31" s="77">
        <v>1427786</v>
      </c>
      <c r="X31" s="77" t="s">
        <v>5</v>
      </c>
      <c r="Y31" s="77">
        <v>1438563</v>
      </c>
    </row>
    <row r="32" spans="1:25" x14ac:dyDescent="0.25">
      <c r="B32" s="40" t="s">
        <v>197</v>
      </c>
      <c r="C32" s="75">
        <v>0</v>
      </c>
      <c r="D32" s="75">
        <v>0</v>
      </c>
      <c r="F32" s="75">
        <v>0</v>
      </c>
      <c r="G32" s="75">
        <v>0</v>
      </c>
      <c r="H32" s="75" t="s">
        <v>5</v>
      </c>
      <c r="I32" s="75" t="s">
        <v>5</v>
      </c>
      <c r="J32" s="75" t="s">
        <v>5</v>
      </c>
      <c r="K32" s="75">
        <v>-829783</v>
      </c>
      <c r="L32" s="75" t="s">
        <v>5</v>
      </c>
      <c r="M32" s="75" t="s">
        <v>5</v>
      </c>
      <c r="N32" s="75" t="s">
        <v>5</v>
      </c>
      <c r="O32" s="75" t="s">
        <v>5</v>
      </c>
      <c r="P32" s="75" t="s">
        <v>5</v>
      </c>
      <c r="Q32" s="75" t="s">
        <v>5</v>
      </c>
      <c r="R32" s="75" t="s">
        <v>5</v>
      </c>
      <c r="S32" s="75" t="s">
        <v>5</v>
      </c>
      <c r="T32" s="75" t="s">
        <v>5</v>
      </c>
      <c r="U32" s="75" t="s">
        <v>5</v>
      </c>
      <c r="V32" s="75" t="s">
        <v>5</v>
      </c>
      <c r="W32" s="75" t="s">
        <v>5</v>
      </c>
      <c r="X32" s="75" t="s">
        <v>5</v>
      </c>
      <c r="Y32" s="75" t="s">
        <v>5</v>
      </c>
    </row>
    <row r="33" spans="2:25" x14ac:dyDescent="0.25">
      <c r="B33" s="76" t="s">
        <v>198</v>
      </c>
      <c r="C33" s="77">
        <v>761856</v>
      </c>
      <c r="D33" s="77">
        <v>599075</v>
      </c>
      <c r="F33" s="77">
        <v>636954</v>
      </c>
      <c r="G33" s="77">
        <v>634041</v>
      </c>
      <c r="H33" s="77">
        <v>590628</v>
      </c>
      <c r="I33" s="77">
        <v>599075</v>
      </c>
      <c r="J33" s="77">
        <v>492015</v>
      </c>
      <c r="K33" s="77">
        <v>2657114</v>
      </c>
      <c r="L33" s="77">
        <v>873241</v>
      </c>
      <c r="M33" s="77">
        <v>783716</v>
      </c>
      <c r="N33" s="77">
        <v>501358</v>
      </c>
      <c r="O33" s="77">
        <v>1935273</v>
      </c>
      <c r="P33" s="77">
        <v>433111</v>
      </c>
      <c r="Q33" s="77">
        <v>436904</v>
      </c>
      <c r="R33" s="77">
        <v>412862</v>
      </c>
      <c r="S33" s="77">
        <v>1709486</v>
      </c>
      <c r="T33" s="77">
        <v>414461</v>
      </c>
      <c r="U33" s="77">
        <v>473143</v>
      </c>
      <c r="V33" s="77">
        <v>413469</v>
      </c>
      <c r="W33" s="77">
        <v>1723059</v>
      </c>
      <c r="X33" s="77">
        <v>467913</v>
      </c>
      <c r="Y33" s="77">
        <v>396386</v>
      </c>
    </row>
    <row r="34" spans="2:25" x14ac:dyDescent="0.25">
      <c r="B34" s="40" t="s">
        <v>199</v>
      </c>
      <c r="C34" s="75">
        <v>-3427961</v>
      </c>
      <c r="D34" s="75">
        <v>-3231998</v>
      </c>
      <c r="F34" s="75">
        <v>-3436134</v>
      </c>
      <c r="G34" s="75">
        <v>-3544009</v>
      </c>
      <c r="H34" s="75">
        <v>-3390215</v>
      </c>
      <c r="I34" s="75">
        <v>-3231998</v>
      </c>
      <c r="J34" s="75">
        <v>-2917278</v>
      </c>
      <c r="K34" s="75">
        <v>-12686721</v>
      </c>
      <c r="L34" s="75">
        <v>-2909994</v>
      </c>
      <c r="M34" s="75">
        <v>-4040760</v>
      </c>
      <c r="N34" s="75">
        <v>-3534478</v>
      </c>
      <c r="O34" s="75">
        <v>-13679051</v>
      </c>
      <c r="P34" s="75">
        <v>-3644128</v>
      </c>
      <c r="Q34" s="75">
        <v>-3218609</v>
      </c>
      <c r="R34" s="75">
        <v>-3123277</v>
      </c>
      <c r="S34" s="75">
        <v>-11721729</v>
      </c>
      <c r="T34" s="75">
        <v>-2858810</v>
      </c>
      <c r="U34" s="75">
        <v>-2682530</v>
      </c>
      <c r="V34" s="75">
        <v>-3012084</v>
      </c>
      <c r="W34" s="75">
        <v>-12351078</v>
      </c>
      <c r="X34" s="75">
        <v>-3109043</v>
      </c>
      <c r="Y34" s="75">
        <v>-2956432</v>
      </c>
    </row>
    <row r="35" spans="2:25" ht="19.5" thickBot="1" x14ac:dyDescent="0.3">
      <c r="B35" s="125" t="s">
        <v>200</v>
      </c>
      <c r="C35" s="126">
        <v>9435991</v>
      </c>
      <c r="D35" s="126">
        <v>8819517</v>
      </c>
      <c r="F35" s="126">
        <f>SUM(F12:F34)</f>
        <v>9057867</v>
      </c>
      <c r="G35" s="126">
        <v>9956686</v>
      </c>
      <c r="H35" s="126">
        <v>9426629</v>
      </c>
      <c r="I35" s="126">
        <v>8819517</v>
      </c>
      <c r="J35" s="126">
        <v>8646937</v>
      </c>
      <c r="K35" s="126">
        <v>34462808</v>
      </c>
      <c r="L35" s="126">
        <v>9223311</v>
      </c>
      <c r="M35" s="126">
        <v>8213380</v>
      </c>
      <c r="N35" s="126">
        <v>7847448</v>
      </c>
      <c r="O35" s="126">
        <v>33646118</v>
      </c>
      <c r="P35" s="126">
        <v>9524667</v>
      </c>
      <c r="Q35" s="126">
        <v>7353982</v>
      </c>
      <c r="R35" s="126">
        <v>7110741</v>
      </c>
      <c r="S35" s="126">
        <v>25227625</v>
      </c>
      <c r="T35" s="126">
        <v>6421183</v>
      </c>
      <c r="U35" s="126">
        <v>5500117</v>
      </c>
      <c r="V35" s="126">
        <v>6041984</v>
      </c>
      <c r="W35" s="126">
        <v>25486973</v>
      </c>
      <c r="X35" s="126">
        <v>6070786</v>
      </c>
      <c r="Y35" s="126">
        <v>7016793</v>
      </c>
    </row>
    <row r="36" spans="2:25" ht="19.5" thickTop="1" x14ac:dyDescent="0.25">
      <c r="I36" s="23"/>
    </row>
    <row r="37" spans="2:25" x14ac:dyDescent="0.25">
      <c r="I37" s="112">
        <f t="shared" ref="I37:Y37" si="0">SUM(I12:I34)-I35</f>
        <v>0</v>
      </c>
      <c r="J37" s="112">
        <f t="shared" si="0"/>
        <v>0</v>
      </c>
      <c r="K37" s="112">
        <f t="shared" si="0"/>
        <v>0</v>
      </c>
      <c r="L37" s="112">
        <f t="shared" si="0"/>
        <v>0</v>
      </c>
      <c r="M37" s="112">
        <f t="shared" si="0"/>
        <v>0</v>
      </c>
      <c r="N37" s="112">
        <f t="shared" si="0"/>
        <v>0</v>
      </c>
      <c r="O37" s="112">
        <f t="shared" si="0"/>
        <v>0</v>
      </c>
      <c r="P37" s="112">
        <f t="shared" si="0"/>
        <v>0</v>
      </c>
      <c r="Q37" s="112">
        <f t="shared" si="0"/>
        <v>0</v>
      </c>
      <c r="R37" s="112">
        <f t="shared" si="0"/>
        <v>0</v>
      </c>
      <c r="S37" s="112">
        <f t="shared" si="0"/>
        <v>0</v>
      </c>
      <c r="T37" s="112">
        <f t="shared" si="0"/>
        <v>0</v>
      </c>
      <c r="U37" s="112">
        <f t="shared" si="0"/>
        <v>0</v>
      </c>
      <c r="V37" s="112">
        <f t="shared" si="0"/>
        <v>0</v>
      </c>
      <c r="W37" s="112">
        <f t="shared" si="0"/>
        <v>0</v>
      </c>
      <c r="X37" s="112">
        <f t="shared" si="0"/>
        <v>0</v>
      </c>
      <c r="Y37" s="112">
        <f t="shared" si="0"/>
        <v>0</v>
      </c>
    </row>
    <row r="38" spans="2:25" x14ac:dyDescent="0.25">
      <c r="I38" s="112">
        <f>I35-DRE!J13</f>
        <v>0</v>
      </c>
      <c r="J38" s="112">
        <f>J35-DRE!K13</f>
        <v>0</v>
      </c>
      <c r="K38" s="112">
        <f>K35-DRE!L13</f>
        <v>0</v>
      </c>
      <c r="L38" s="112">
        <f>L35-DRE!M13</f>
        <v>0</v>
      </c>
      <c r="M38" s="112">
        <f>M35-DRE!N13</f>
        <v>0</v>
      </c>
      <c r="N38" s="112">
        <f>N35-DRE!O13</f>
        <v>0</v>
      </c>
      <c r="O38" s="112">
        <f>O35-DRE!P13</f>
        <v>0</v>
      </c>
      <c r="P38" s="112">
        <f>P35-DRE!Q13</f>
        <v>0</v>
      </c>
      <c r="Q38" s="112">
        <f>Q35-DRE!R13</f>
        <v>0</v>
      </c>
      <c r="R38" s="112">
        <f>R35-DRE!S13</f>
        <v>0</v>
      </c>
      <c r="S38" s="112">
        <f>S35-DRE!T13</f>
        <v>0</v>
      </c>
      <c r="T38" s="112">
        <f>T35-DRE!U13</f>
        <v>0</v>
      </c>
      <c r="U38" s="112">
        <f>U35-DRE!V13</f>
        <v>0</v>
      </c>
      <c r="V38" s="112">
        <f>V35-DRE!W13</f>
        <v>0</v>
      </c>
      <c r="W38" s="112">
        <f>W35-DRE!X13</f>
        <v>0</v>
      </c>
      <c r="X38" s="112">
        <f>X35-DRE!Y13</f>
        <v>0</v>
      </c>
      <c r="Y38" s="112">
        <f>Y35-DRE!Z13</f>
        <v>0</v>
      </c>
    </row>
    <row r="39" spans="2:25" x14ac:dyDescent="0.25">
      <c r="I39" s="23"/>
      <c r="J39" s="23"/>
    </row>
    <row r="40" spans="2:25" x14ac:dyDescent="0.25">
      <c r="I40" s="23"/>
      <c r="J40" s="23"/>
    </row>
    <row r="41" spans="2:25" x14ac:dyDescent="0.25">
      <c r="J41" s="23"/>
    </row>
    <row r="42" spans="2:25" x14ac:dyDescent="0.25">
      <c r="I42" s="23"/>
      <c r="J42" s="23"/>
    </row>
    <row r="43" spans="2:25" x14ac:dyDescent="0.25">
      <c r="I43" s="23"/>
      <c r="J43" s="23"/>
    </row>
    <row r="44" spans="2:25" x14ac:dyDescent="0.25">
      <c r="I44" s="23"/>
      <c r="J44" s="23"/>
    </row>
    <row r="45" spans="2:25" x14ac:dyDescent="0.25">
      <c r="I45" s="23"/>
      <c r="J45" s="23"/>
    </row>
    <row r="46" spans="2:25" x14ac:dyDescent="0.25">
      <c r="I46" s="23"/>
      <c r="J46" s="23"/>
    </row>
    <row r="47" spans="2:25" x14ac:dyDescent="0.25">
      <c r="I47" s="23"/>
      <c r="J47" s="23"/>
    </row>
    <row r="48" spans="2:25" x14ac:dyDescent="0.25">
      <c r="I48" s="23"/>
      <c r="J48" s="23"/>
    </row>
  </sheetData>
  <mergeCells count="3">
    <mergeCell ref="B10:B11"/>
    <mergeCell ref="C10:D10"/>
    <mergeCell ref="F10:Y10"/>
  </mergeCells>
  <conditionalFormatting sqref="E37:F38">
    <cfRule type="cellIs" dxfId="59" priority="7" operator="notEqual">
      <formula>0</formula>
    </cfRule>
  </conditionalFormatting>
  <conditionalFormatting sqref="I38">
    <cfRule type="cellIs" dxfId="58" priority="3" operator="notEqual">
      <formula>0</formula>
    </cfRule>
  </conditionalFormatting>
  <conditionalFormatting sqref="I37:J37">
    <cfRule type="cellIs" dxfId="57" priority="4" operator="notEqual">
      <formula>0</formula>
    </cfRule>
  </conditionalFormatting>
  <conditionalFormatting sqref="I37:Y38">
    <cfRule type="cellIs" dxfId="56" priority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Planilha10"/>
  <dimension ref="B5:AB44"/>
  <sheetViews>
    <sheetView showGridLines="0" showRowColHeaders="0" zoomScale="85" zoomScaleNormal="85" workbookViewId="0"/>
  </sheetViews>
  <sheetFormatPr defaultColWidth="8.7109375" defaultRowHeight="15" x14ac:dyDescent="0.25"/>
  <cols>
    <col min="1" max="1" width="9.85546875" customWidth="1"/>
    <col min="2" max="2" width="53" bestFit="1" customWidth="1"/>
    <col min="3" max="3" width="16.28515625" customWidth="1"/>
    <col min="4" max="5" width="14.42578125" customWidth="1"/>
    <col min="6" max="6" width="15.28515625" customWidth="1"/>
    <col min="7" max="7" width="11.28515625" customWidth="1"/>
    <col min="8" max="8" width="11.28515625" bestFit="1" customWidth="1"/>
    <col min="9" max="9" width="10.5703125" customWidth="1"/>
    <col min="10" max="10" width="10.28515625" bestFit="1" customWidth="1"/>
    <col min="11" max="12" width="11.28515625" bestFit="1" customWidth="1"/>
    <col min="13" max="14" width="10.28515625" bestFit="1" customWidth="1"/>
    <col min="15" max="15" width="12.28515625" customWidth="1"/>
    <col min="16" max="16" width="11.28515625" bestFit="1" customWidth="1"/>
    <col min="17" max="18" width="10.28515625" bestFit="1" customWidth="1"/>
    <col min="19" max="19" width="13" customWidth="1"/>
    <col min="20" max="20" width="11.28515625" bestFit="1" customWidth="1"/>
    <col min="21" max="22" width="10.28515625" bestFit="1" customWidth="1"/>
    <col min="23" max="23" width="12" customWidth="1"/>
    <col min="24" max="24" width="11.28515625" bestFit="1" customWidth="1"/>
    <col min="25" max="26" width="10.28515625" bestFit="1" customWidth="1"/>
    <col min="27" max="27" width="11.28515625" bestFit="1" customWidth="1"/>
    <col min="28" max="28" width="10.28515625" bestFit="1" customWidth="1"/>
  </cols>
  <sheetData>
    <row r="5" spans="2:28" ht="15" customHeight="1" x14ac:dyDescent="0.25">
      <c r="B5" s="121"/>
      <c r="C5" s="121"/>
      <c r="D5" s="121"/>
      <c r="E5" s="121"/>
      <c r="F5" s="121"/>
      <c r="G5" s="121"/>
      <c r="H5" s="121"/>
      <c r="J5" s="121"/>
      <c r="K5" s="121"/>
      <c r="L5" s="14"/>
      <c r="M5" s="14"/>
      <c r="N5" s="14"/>
    </row>
    <row r="6" spans="2:28" ht="15" customHeight="1" x14ac:dyDescent="0.25">
      <c r="B6" s="14"/>
      <c r="C6" s="14"/>
      <c r="D6" s="14"/>
      <c r="E6" s="14"/>
      <c r="F6" s="14"/>
      <c r="G6" s="14"/>
      <c r="H6" s="14"/>
      <c r="J6" s="14"/>
      <c r="K6" s="14"/>
      <c r="L6" s="14"/>
      <c r="M6" s="14"/>
      <c r="N6" s="14"/>
    </row>
    <row r="7" spans="2:28" ht="15" customHeight="1" x14ac:dyDescent="0.25">
      <c r="B7" s="14"/>
      <c r="C7" s="14"/>
      <c r="D7" s="14"/>
      <c r="E7" s="14"/>
      <c r="F7" s="14"/>
      <c r="G7" s="14"/>
      <c r="H7" s="14"/>
      <c r="J7" s="14"/>
      <c r="K7" s="14"/>
      <c r="L7" s="14"/>
      <c r="M7" s="14"/>
      <c r="N7" s="14"/>
    </row>
    <row r="8" spans="2:28" ht="19.5" customHeight="1" x14ac:dyDescent="0.25">
      <c r="B8" s="14"/>
      <c r="C8" s="14"/>
      <c r="D8" s="14"/>
      <c r="E8" s="14"/>
      <c r="F8" s="14"/>
      <c r="G8" s="14"/>
      <c r="H8" s="14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</row>
    <row r="9" spans="2:28" ht="21" customHeight="1" x14ac:dyDescent="0.25">
      <c r="B9" s="13" t="s">
        <v>130</v>
      </c>
      <c r="C9" s="13"/>
      <c r="D9" s="13"/>
      <c r="E9" s="13"/>
      <c r="F9" s="2"/>
      <c r="G9" s="2"/>
      <c r="H9" s="2"/>
      <c r="J9" s="2"/>
      <c r="K9" s="2"/>
    </row>
    <row r="10" spans="2:28" ht="21" customHeight="1" x14ac:dyDescent="0.25">
      <c r="B10" s="380"/>
      <c r="C10" s="378" t="s">
        <v>539</v>
      </c>
      <c r="D10" s="378"/>
      <c r="E10" s="14"/>
      <c r="F10" s="377" t="s">
        <v>131</v>
      </c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377"/>
      <c r="V10" s="377"/>
      <c r="W10" s="377"/>
      <c r="X10" s="377"/>
      <c r="Y10" s="377"/>
      <c r="Z10" s="377"/>
    </row>
    <row r="11" spans="2:28" ht="27.75" customHeight="1" x14ac:dyDescent="0.25">
      <c r="B11" s="381"/>
      <c r="C11" s="157" t="s">
        <v>563</v>
      </c>
      <c r="D11" s="157" t="s">
        <v>134</v>
      </c>
      <c r="E11" s="14"/>
      <c r="F11" s="157" t="s">
        <v>548</v>
      </c>
      <c r="G11" s="157" t="s">
        <v>540</v>
      </c>
      <c r="H11" s="157" t="s">
        <v>133</v>
      </c>
      <c r="I11" s="157" t="s">
        <v>134</v>
      </c>
      <c r="J11" s="157" t="s">
        <v>135</v>
      </c>
      <c r="K11" s="157">
        <v>2022</v>
      </c>
      <c r="L11" s="157" t="s">
        <v>136</v>
      </c>
      <c r="M11" s="157" t="s">
        <v>137</v>
      </c>
      <c r="N11" s="157" t="s">
        <v>138</v>
      </c>
      <c r="O11" s="157">
        <v>2021</v>
      </c>
      <c r="P11" s="157" t="s">
        <v>139</v>
      </c>
      <c r="Q11" s="157" t="s">
        <v>140</v>
      </c>
      <c r="R11" s="157" t="s">
        <v>141</v>
      </c>
      <c r="S11" s="157">
        <v>2020</v>
      </c>
      <c r="T11" s="157" t="s">
        <v>142</v>
      </c>
      <c r="U11" s="157" t="s">
        <v>143</v>
      </c>
      <c r="V11" s="157" t="s">
        <v>144</v>
      </c>
      <c r="W11" s="157">
        <v>2019</v>
      </c>
      <c r="X11" s="157" t="s">
        <v>145</v>
      </c>
      <c r="Y11" s="157" t="s">
        <v>146</v>
      </c>
      <c r="Z11" s="157" t="s">
        <v>147</v>
      </c>
    </row>
    <row r="12" spans="2:28" ht="24" customHeight="1" x14ac:dyDescent="0.25">
      <c r="B12" s="40" t="s">
        <v>201</v>
      </c>
      <c r="C12" s="127">
        <v>3693227</v>
      </c>
      <c r="D12" s="127">
        <v>3468393</v>
      </c>
      <c r="E12" s="14"/>
      <c r="F12" s="127">
        <v>3510632</v>
      </c>
      <c r="G12" s="127">
        <v>3957150</v>
      </c>
      <c r="H12" s="127">
        <v>3778480</v>
      </c>
      <c r="I12" s="127">
        <v>3468393</v>
      </c>
      <c r="J12" s="127">
        <v>3444067</v>
      </c>
      <c r="K12" s="127">
        <v>14613985</v>
      </c>
      <c r="L12" s="127">
        <v>4125675</v>
      </c>
      <c r="M12" s="127">
        <v>3445961</v>
      </c>
      <c r="N12" s="127">
        <v>3103382</v>
      </c>
      <c r="O12" s="127">
        <v>16101254</v>
      </c>
      <c r="P12" s="127">
        <v>5302305</v>
      </c>
      <c r="Q12" s="127">
        <v>3309234</v>
      </c>
      <c r="R12" s="127">
        <v>3108114</v>
      </c>
      <c r="S12" s="127">
        <v>12111489</v>
      </c>
      <c r="T12" s="127">
        <v>2958679</v>
      </c>
      <c r="U12" s="127">
        <v>2755238</v>
      </c>
      <c r="V12" s="127">
        <v>2814495</v>
      </c>
      <c r="W12" s="127">
        <v>11286174</v>
      </c>
      <c r="X12" s="127">
        <v>3034108</v>
      </c>
      <c r="Y12" s="127">
        <v>2526019</v>
      </c>
      <c r="Z12" s="127">
        <v>2594181</v>
      </c>
    </row>
    <row r="13" spans="2:28" ht="24" customHeight="1" x14ac:dyDescent="0.25">
      <c r="B13" s="76" t="s">
        <v>202</v>
      </c>
      <c r="C13" s="128">
        <v>817136</v>
      </c>
      <c r="D13" s="128">
        <v>704850</v>
      </c>
      <c r="E13" s="14"/>
      <c r="F13" s="128">
        <v>843222</v>
      </c>
      <c r="G13" s="128">
        <v>762268</v>
      </c>
      <c r="H13" s="128">
        <v>769491</v>
      </c>
      <c r="I13" s="128">
        <v>704850</v>
      </c>
      <c r="J13" s="128">
        <v>700181</v>
      </c>
      <c r="K13" s="128">
        <v>2670715</v>
      </c>
      <c r="L13" s="128">
        <v>588444</v>
      </c>
      <c r="M13" s="128">
        <v>560170</v>
      </c>
      <c r="N13" s="128">
        <v>868532</v>
      </c>
      <c r="O13" s="128">
        <v>3336985</v>
      </c>
      <c r="P13" s="128">
        <v>653534</v>
      </c>
      <c r="Q13" s="128">
        <v>701915</v>
      </c>
      <c r="R13" s="128">
        <v>746312</v>
      </c>
      <c r="S13" s="128">
        <v>1747811</v>
      </c>
      <c r="T13" s="128">
        <v>534788</v>
      </c>
      <c r="U13" s="128">
        <v>257441</v>
      </c>
      <c r="V13" s="128">
        <v>365012</v>
      </c>
      <c r="W13" s="128">
        <v>1426278</v>
      </c>
      <c r="X13" s="128">
        <v>376216</v>
      </c>
      <c r="Y13" s="128">
        <v>367375</v>
      </c>
      <c r="Z13" s="128">
        <v>333796</v>
      </c>
    </row>
    <row r="14" spans="2:28" ht="24" customHeight="1" x14ac:dyDescent="0.25">
      <c r="B14" s="40" t="s">
        <v>203</v>
      </c>
      <c r="C14" s="127">
        <v>508828</v>
      </c>
      <c r="D14" s="127">
        <v>572442</v>
      </c>
      <c r="E14" s="14"/>
      <c r="F14" s="127">
        <v>510177</v>
      </c>
      <c r="G14" s="127">
        <v>522622</v>
      </c>
      <c r="H14" s="127">
        <v>527146</v>
      </c>
      <c r="I14" s="127">
        <v>572442</v>
      </c>
      <c r="J14" s="127">
        <v>614803</v>
      </c>
      <c r="K14" s="127">
        <v>2735482</v>
      </c>
      <c r="L14" s="127">
        <v>782453</v>
      </c>
      <c r="M14" s="127">
        <v>692063</v>
      </c>
      <c r="N14" s="127">
        <v>563781</v>
      </c>
      <c r="O14" s="127">
        <v>2011340</v>
      </c>
      <c r="P14" s="127">
        <v>560010</v>
      </c>
      <c r="Q14" s="127">
        <v>480517</v>
      </c>
      <c r="R14" s="127">
        <v>387525</v>
      </c>
      <c r="S14" s="127">
        <v>1083089</v>
      </c>
      <c r="T14" s="127">
        <v>207361</v>
      </c>
      <c r="U14" s="127">
        <v>231378</v>
      </c>
      <c r="V14" s="127">
        <v>311925</v>
      </c>
      <c r="W14" s="127">
        <v>1435728</v>
      </c>
      <c r="X14" s="127">
        <v>375140</v>
      </c>
      <c r="Y14" s="127">
        <v>330180</v>
      </c>
      <c r="Z14" s="127">
        <v>394982</v>
      </c>
    </row>
    <row r="15" spans="2:28" ht="24" customHeight="1" x14ac:dyDescent="0.25">
      <c r="B15" s="76" t="s">
        <v>204</v>
      </c>
      <c r="C15" s="128">
        <v>1226933</v>
      </c>
      <c r="D15" s="128">
        <v>964240</v>
      </c>
      <c r="E15" s="14"/>
      <c r="F15" s="128">
        <v>920981</v>
      </c>
      <c r="G15" s="128">
        <v>1210562</v>
      </c>
      <c r="H15" s="128">
        <v>1193629</v>
      </c>
      <c r="I15" s="128">
        <v>964240</v>
      </c>
      <c r="J15" s="128">
        <v>703281</v>
      </c>
      <c r="K15" s="128">
        <v>3536442</v>
      </c>
      <c r="L15" s="128">
        <v>1135414</v>
      </c>
      <c r="M15" s="128">
        <v>771160</v>
      </c>
      <c r="N15" s="128">
        <v>491262</v>
      </c>
      <c r="O15" s="128">
        <v>2035648</v>
      </c>
      <c r="P15" s="128">
        <v>552536</v>
      </c>
      <c r="Q15" s="128">
        <v>437186</v>
      </c>
      <c r="R15" s="128">
        <v>348375</v>
      </c>
      <c r="S15" s="128">
        <v>1581475</v>
      </c>
      <c r="T15" s="128">
        <v>438960</v>
      </c>
      <c r="U15" s="128">
        <v>373405</v>
      </c>
      <c r="V15" s="128">
        <v>310271</v>
      </c>
      <c r="W15" s="128">
        <v>1199698</v>
      </c>
      <c r="X15" s="128">
        <v>341503</v>
      </c>
      <c r="Y15" s="128">
        <v>266107</v>
      </c>
      <c r="Z15" s="128">
        <v>199118</v>
      </c>
    </row>
    <row r="16" spans="2:28" ht="24" customHeight="1" x14ac:dyDescent="0.25">
      <c r="B16" s="40" t="s">
        <v>205</v>
      </c>
      <c r="C16" s="127">
        <v>416784</v>
      </c>
      <c r="D16" s="127">
        <v>321233</v>
      </c>
      <c r="E16" s="14"/>
      <c r="F16" s="127">
        <v>324058</v>
      </c>
      <c r="G16" s="127">
        <v>348543</v>
      </c>
      <c r="H16" s="127">
        <v>302927</v>
      </c>
      <c r="I16" s="127">
        <v>321233</v>
      </c>
      <c r="J16" s="127">
        <v>335197</v>
      </c>
      <c r="K16" s="127">
        <v>1351999</v>
      </c>
      <c r="L16" s="127">
        <v>309758</v>
      </c>
      <c r="M16" s="127">
        <v>370647</v>
      </c>
      <c r="N16" s="127">
        <v>303567</v>
      </c>
      <c r="O16" s="127">
        <v>1240468</v>
      </c>
      <c r="P16" s="127">
        <v>262275</v>
      </c>
      <c r="Q16" s="127">
        <v>342869</v>
      </c>
      <c r="R16" s="127">
        <v>307454</v>
      </c>
      <c r="S16" s="127">
        <v>1276076</v>
      </c>
      <c r="T16" s="127">
        <v>290095</v>
      </c>
      <c r="U16" s="127">
        <v>339183</v>
      </c>
      <c r="V16" s="127">
        <v>311606</v>
      </c>
      <c r="W16" s="127">
        <v>1271518</v>
      </c>
      <c r="X16" s="127">
        <v>304350</v>
      </c>
      <c r="Y16" s="127">
        <v>312031</v>
      </c>
      <c r="Z16" s="127">
        <v>365041</v>
      </c>
    </row>
    <row r="17" spans="2:26" ht="24" customHeight="1" x14ac:dyDescent="0.25">
      <c r="B17" s="76" t="s">
        <v>206</v>
      </c>
      <c r="C17" s="128">
        <v>43187</v>
      </c>
      <c r="D17" s="128">
        <v>36645</v>
      </c>
      <c r="E17" s="14"/>
      <c r="F17" s="128">
        <v>39232</v>
      </c>
      <c r="G17" s="128">
        <v>38746</v>
      </c>
      <c r="H17" s="128">
        <v>43603</v>
      </c>
      <c r="I17" s="128">
        <v>36645</v>
      </c>
      <c r="J17" s="128">
        <v>38127</v>
      </c>
      <c r="K17" s="128">
        <v>83043</v>
      </c>
      <c r="L17" s="128">
        <v>24518</v>
      </c>
      <c r="M17" s="128">
        <v>36700</v>
      </c>
      <c r="N17" s="128">
        <v>37150</v>
      </c>
      <c r="O17" s="128">
        <v>134267</v>
      </c>
      <c r="P17" s="128">
        <v>55292</v>
      </c>
      <c r="Q17" s="128">
        <v>19675</v>
      </c>
      <c r="R17" s="128">
        <v>29514</v>
      </c>
      <c r="S17" s="128">
        <v>141847</v>
      </c>
      <c r="T17" s="128">
        <v>75602</v>
      </c>
      <c r="U17" s="128">
        <v>7440</v>
      </c>
      <c r="V17" s="128">
        <v>25840</v>
      </c>
      <c r="W17" s="128">
        <v>263008</v>
      </c>
      <c r="X17" s="128">
        <v>-14572</v>
      </c>
      <c r="Y17" s="128">
        <v>108478</v>
      </c>
      <c r="Z17" s="128">
        <v>66037</v>
      </c>
    </row>
    <row r="18" spans="2:26" ht="24" customHeight="1" x14ac:dyDescent="0.25">
      <c r="B18" s="40" t="s">
        <v>207</v>
      </c>
      <c r="C18" s="127">
        <v>98391</v>
      </c>
      <c r="D18" s="127">
        <v>157841</v>
      </c>
      <c r="E18" s="14"/>
      <c r="F18" s="127">
        <v>142285</v>
      </c>
      <c r="G18" s="127">
        <v>161347</v>
      </c>
      <c r="H18" s="127">
        <v>168786</v>
      </c>
      <c r="I18" s="127">
        <v>157841</v>
      </c>
      <c r="J18" s="127">
        <v>103038</v>
      </c>
      <c r="K18" s="127">
        <v>626028</v>
      </c>
      <c r="L18" s="127">
        <v>163946</v>
      </c>
      <c r="M18" s="127">
        <v>151285</v>
      </c>
      <c r="N18" s="127">
        <v>153480</v>
      </c>
      <c r="O18" s="127">
        <v>15194</v>
      </c>
      <c r="P18" s="127">
        <v>108934</v>
      </c>
      <c r="Q18" s="127">
        <v>109288</v>
      </c>
      <c r="R18" s="127">
        <v>106683</v>
      </c>
      <c r="S18" s="127">
        <v>438245</v>
      </c>
      <c r="T18" s="127">
        <v>110512</v>
      </c>
      <c r="U18" s="127">
        <v>118322</v>
      </c>
      <c r="V18" s="127">
        <v>105405</v>
      </c>
      <c r="W18" s="127">
        <v>408464</v>
      </c>
      <c r="X18" s="127">
        <v>105397</v>
      </c>
      <c r="Y18" s="127">
        <v>97790</v>
      </c>
      <c r="Z18" s="127">
        <v>100909</v>
      </c>
    </row>
    <row r="19" spans="2:26" ht="24" customHeight="1" x14ac:dyDescent="0.25">
      <c r="B19" s="76" t="s">
        <v>208</v>
      </c>
      <c r="C19" s="128">
        <v>33591</v>
      </c>
      <c r="D19" s="128">
        <v>30826</v>
      </c>
      <c r="E19" s="14"/>
      <c r="F19" s="128">
        <v>28970</v>
      </c>
      <c r="G19" s="128">
        <v>51276</v>
      </c>
      <c r="H19" s="128">
        <v>28478</v>
      </c>
      <c r="I19" s="128">
        <v>30826</v>
      </c>
      <c r="J19" s="128">
        <v>29233</v>
      </c>
      <c r="K19" s="128">
        <v>148570</v>
      </c>
      <c r="L19" s="128">
        <v>34152</v>
      </c>
      <c r="M19" s="128">
        <v>33047</v>
      </c>
      <c r="N19" s="128">
        <v>20252</v>
      </c>
      <c r="O19" s="128">
        <v>94021</v>
      </c>
      <c r="P19" s="128">
        <v>23876</v>
      </c>
      <c r="Q19" s="128">
        <v>25352</v>
      </c>
      <c r="R19" s="128">
        <v>20850</v>
      </c>
      <c r="S19" s="128">
        <v>79077</v>
      </c>
      <c r="T19" s="128">
        <v>22714</v>
      </c>
      <c r="U19" s="128">
        <v>16141</v>
      </c>
      <c r="V19" s="128">
        <v>18625</v>
      </c>
      <c r="W19" s="128">
        <v>91138</v>
      </c>
      <c r="X19" s="128">
        <v>20450</v>
      </c>
      <c r="Y19" s="128">
        <v>19766</v>
      </c>
      <c r="Z19" s="128">
        <v>20490</v>
      </c>
    </row>
    <row r="20" spans="2:26" ht="24" customHeight="1" x14ac:dyDescent="0.25">
      <c r="B20" s="40" t="s">
        <v>209</v>
      </c>
      <c r="C20" s="127">
        <v>507706</v>
      </c>
      <c r="D20" s="127">
        <v>456909</v>
      </c>
      <c r="E20" s="14"/>
      <c r="F20" s="127">
        <v>518907</v>
      </c>
      <c r="G20" s="127">
        <v>511225</v>
      </c>
      <c r="H20" s="127">
        <v>466584</v>
      </c>
      <c r="I20" s="127">
        <v>456909</v>
      </c>
      <c r="J20" s="127">
        <v>467446</v>
      </c>
      <c r="K20" s="127">
        <v>1706166</v>
      </c>
      <c r="L20" s="127">
        <v>409376</v>
      </c>
      <c r="M20" s="127">
        <v>393367</v>
      </c>
      <c r="N20" s="127">
        <v>379749</v>
      </c>
      <c r="O20" s="127">
        <v>1449954</v>
      </c>
      <c r="P20" s="127">
        <v>354472</v>
      </c>
      <c r="Q20" s="127">
        <v>344641</v>
      </c>
      <c r="R20" s="127">
        <v>342434</v>
      </c>
      <c r="S20" s="127">
        <v>1264788</v>
      </c>
      <c r="T20" s="127">
        <v>302775</v>
      </c>
      <c r="U20" s="127">
        <v>302609</v>
      </c>
      <c r="V20" s="127">
        <v>299081</v>
      </c>
      <c r="W20" s="127">
        <v>1238550</v>
      </c>
      <c r="X20" s="127">
        <v>307976</v>
      </c>
      <c r="Y20" s="127">
        <v>302241</v>
      </c>
      <c r="Z20" s="127">
        <v>283728</v>
      </c>
    </row>
    <row r="21" spans="2:26" ht="24" customHeight="1" x14ac:dyDescent="0.25">
      <c r="B21" s="76" t="s">
        <v>210</v>
      </c>
      <c r="C21" s="128">
        <v>337779</v>
      </c>
      <c r="D21" s="128">
        <v>303263</v>
      </c>
      <c r="E21" s="14"/>
      <c r="F21" s="128">
        <v>328542</v>
      </c>
      <c r="G21" s="128">
        <v>351452</v>
      </c>
      <c r="H21" s="128">
        <v>316693</v>
      </c>
      <c r="I21" s="128">
        <v>303263</v>
      </c>
      <c r="J21" s="128">
        <v>302666</v>
      </c>
      <c r="K21" s="128">
        <v>1182084</v>
      </c>
      <c r="L21" s="128">
        <v>297607</v>
      </c>
      <c r="M21" s="128">
        <v>288020</v>
      </c>
      <c r="N21" s="128">
        <v>283909</v>
      </c>
      <c r="O21" s="128">
        <v>1049109</v>
      </c>
      <c r="P21" s="128">
        <v>286400</v>
      </c>
      <c r="Q21" s="128">
        <v>241733</v>
      </c>
      <c r="R21" s="128">
        <v>238431</v>
      </c>
      <c r="S21" s="128">
        <v>989053</v>
      </c>
      <c r="T21" s="128">
        <v>245089</v>
      </c>
      <c r="U21" s="128">
        <v>245697</v>
      </c>
      <c r="V21" s="128">
        <v>242752</v>
      </c>
      <c r="W21" s="128">
        <v>958234</v>
      </c>
      <c r="X21" s="128">
        <v>244023</v>
      </c>
      <c r="Y21" s="128">
        <v>248403</v>
      </c>
      <c r="Z21" s="128">
        <v>230896</v>
      </c>
    </row>
    <row r="22" spans="2:26" ht="24" customHeight="1" x14ac:dyDescent="0.25">
      <c r="B22" s="40" t="s">
        <v>451</v>
      </c>
      <c r="C22" s="127">
        <v>-429592</v>
      </c>
      <c r="D22" s="127">
        <v>132503</v>
      </c>
      <c r="E22" s="14"/>
      <c r="F22" s="127">
        <v>139585</v>
      </c>
      <c r="G22" s="127">
        <v>88390</v>
      </c>
      <c r="H22" s="127">
        <v>99522</v>
      </c>
      <c r="I22" s="127">
        <v>132503</v>
      </c>
      <c r="J22" s="127">
        <v>113536</v>
      </c>
      <c r="K22" s="127">
        <v>400856</v>
      </c>
      <c r="L22" s="127">
        <v>86428</v>
      </c>
      <c r="M22" s="127">
        <v>1420370</v>
      </c>
      <c r="N22" s="127">
        <v>120265</v>
      </c>
      <c r="O22" s="127">
        <v>230822</v>
      </c>
      <c r="P22" s="127">
        <v>38822</v>
      </c>
      <c r="Q22" s="127">
        <v>70160</v>
      </c>
      <c r="R22" s="127">
        <v>-18949</v>
      </c>
      <c r="S22" s="127">
        <v>276581</v>
      </c>
      <c r="T22" s="127">
        <v>55223</v>
      </c>
      <c r="U22" s="127">
        <v>82253</v>
      </c>
      <c r="V22" s="127">
        <v>59376</v>
      </c>
      <c r="W22" s="127">
        <v>2163373</v>
      </c>
      <c r="X22" s="127">
        <v>1195660</v>
      </c>
      <c r="Y22" s="127">
        <v>821746</v>
      </c>
      <c r="Z22" s="127">
        <v>29655</v>
      </c>
    </row>
    <row r="23" spans="2:26" ht="24" customHeight="1" x14ac:dyDescent="0.25">
      <c r="B23" s="76" t="s">
        <v>211</v>
      </c>
      <c r="C23" s="128">
        <v>4438</v>
      </c>
      <c r="D23" s="128">
        <v>-335</v>
      </c>
      <c r="E23" s="14"/>
      <c r="F23" s="128">
        <v>22958</v>
      </c>
      <c r="G23" s="128">
        <v>0</v>
      </c>
      <c r="H23" s="128">
        <v>-45791</v>
      </c>
      <c r="I23" s="128">
        <v>-335</v>
      </c>
      <c r="J23" s="128">
        <v>46126</v>
      </c>
      <c r="K23" s="128"/>
      <c r="L23" s="128">
        <v>37182</v>
      </c>
      <c r="M23" s="128" t="s">
        <v>5</v>
      </c>
      <c r="N23" s="128" t="s">
        <v>5</v>
      </c>
      <c r="O23" s="128"/>
      <c r="P23" s="128" t="s">
        <v>5</v>
      </c>
      <c r="Q23" s="128" t="s">
        <v>5</v>
      </c>
      <c r="R23" s="128" t="s">
        <v>5</v>
      </c>
      <c r="S23" s="128" t="s">
        <v>5</v>
      </c>
      <c r="T23" s="128" t="s">
        <v>5</v>
      </c>
      <c r="U23" s="128" t="s">
        <v>5</v>
      </c>
      <c r="V23" s="128" t="s">
        <v>5</v>
      </c>
      <c r="W23" s="128" t="s">
        <v>5</v>
      </c>
      <c r="X23" s="128" t="s">
        <v>5</v>
      </c>
      <c r="Y23" s="128" t="s">
        <v>5</v>
      </c>
      <c r="Z23" s="128" t="s">
        <v>5</v>
      </c>
    </row>
    <row r="24" spans="2:26" ht="24" customHeight="1" x14ac:dyDescent="0.25">
      <c r="B24" s="40" t="s">
        <v>212</v>
      </c>
      <c r="C24" s="127">
        <v>77300</v>
      </c>
      <c r="D24" s="127">
        <v>21266</v>
      </c>
      <c r="E24" s="14"/>
      <c r="F24" s="127">
        <v>75853</v>
      </c>
      <c r="G24" s="127">
        <v>102311</v>
      </c>
      <c r="H24" s="127">
        <v>43160</v>
      </c>
      <c r="I24" s="127">
        <v>21266</v>
      </c>
      <c r="J24" s="127">
        <v>7926</v>
      </c>
      <c r="K24" s="127">
        <v>108731</v>
      </c>
      <c r="L24" s="127">
        <v>-84852</v>
      </c>
      <c r="M24" s="127">
        <v>90366</v>
      </c>
      <c r="N24" s="127">
        <v>43092</v>
      </c>
      <c r="O24" s="127">
        <v>143856</v>
      </c>
      <c r="P24" s="127">
        <v>37295</v>
      </c>
      <c r="Q24" s="127">
        <v>-985</v>
      </c>
      <c r="R24" s="127">
        <v>43153</v>
      </c>
      <c r="S24" s="127">
        <v>146705</v>
      </c>
      <c r="T24" s="127">
        <v>-156829</v>
      </c>
      <c r="U24" s="127">
        <v>115360</v>
      </c>
      <c r="V24" s="127">
        <v>99740</v>
      </c>
      <c r="W24" s="127">
        <v>237733</v>
      </c>
      <c r="X24" s="127">
        <v>101383</v>
      </c>
      <c r="Y24" s="127">
        <v>47627</v>
      </c>
      <c r="Z24" s="127">
        <v>79351</v>
      </c>
    </row>
    <row r="25" spans="2:26" ht="27.75" customHeight="1" x14ac:dyDescent="0.25">
      <c r="B25" s="76" t="s">
        <v>213</v>
      </c>
      <c r="C25" s="128">
        <v>0</v>
      </c>
      <c r="D25" s="128">
        <v>0</v>
      </c>
      <c r="E25" s="14"/>
      <c r="F25" s="128">
        <v>0</v>
      </c>
      <c r="G25" s="128">
        <v>1250</v>
      </c>
      <c r="H25" s="128" t="s">
        <v>5</v>
      </c>
      <c r="I25" s="128" t="s">
        <v>5</v>
      </c>
      <c r="J25" s="128" t="s">
        <v>5</v>
      </c>
      <c r="K25" s="128">
        <v>-53860</v>
      </c>
      <c r="L25" s="128">
        <v>-504</v>
      </c>
      <c r="M25" s="128" t="s">
        <v>5</v>
      </c>
      <c r="N25" s="128"/>
      <c r="O25" s="128"/>
      <c r="P25" s="128" t="s">
        <v>5</v>
      </c>
      <c r="Q25" s="128" t="s">
        <v>5</v>
      </c>
      <c r="R25" s="128" t="s">
        <v>5</v>
      </c>
      <c r="S25" s="128" t="s">
        <v>5</v>
      </c>
      <c r="T25" s="128" t="s">
        <v>5</v>
      </c>
      <c r="U25" s="128" t="s">
        <v>5</v>
      </c>
      <c r="V25" s="128" t="s">
        <v>5</v>
      </c>
      <c r="W25" s="128" t="s">
        <v>5</v>
      </c>
      <c r="X25" s="128" t="s">
        <v>5</v>
      </c>
      <c r="Y25" s="128" t="s">
        <v>5</v>
      </c>
      <c r="Z25" s="128" t="s">
        <v>5</v>
      </c>
    </row>
    <row r="26" spans="2:26" ht="24" customHeight="1" x14ac:dyDescent="0.25">
      <c r="B26" s="40" t="s">
        <v>214</v>
      </c>
      <c r="C26" s="127">
        <v>0</v>
      </c>
      <c r="D26" s="127">
        <v>0</v>
      </c>
      <c r="E26" s="14"/>
      <c r="F26" s="127">
        <v>0</v>
      </c>
      <c r="G26" s="127">
        <v>0</v>
      </c>
      <c r="H26" s="127" t="s">
        <v>5</v>
      </c>
      <c r="I26" s="127" t="s">
        <v>5</v>
      </c>
      <c r="J26" s="127" t="s">
        <v>5</v>
      </c>
      <c r="K26" s="127">
        <v>171770</v>
      </c>
      <c r="L26" s="127" t="s">
        <v>5</v>
      </c>
      <c r="M26" s="127">
        <v>171774</v>
      </c>
      <c r="N26" s="127" t="s">
        <v>5</v>
      </c>
      <c r="O26" s="127"/>
      <c r="P26" s="127" t="s">
        <v>5</v>
      </c>
      <c r="Q26" s="127" t="s">
        <v>5</v>
      </c>
      <c r="R26" s="127" t="s">
        <v>5</v>
      </c>
      <c r="S26" s="127" t="s">
        <v>5</v>
      </c>
      <c r="T26" s="127" t="s">
        <v>5</v>
      </c>
      <c r="U26" s="127" t="s">
        <v>5</v>
      </c>
      <c r="V26" s="127" t="s">
        <v>5</v>
      </c>
      <c r="W26" s="127" t="s">
        <v>5</v>
      </c>
      <c r="X26" s="127" t="s">
        <v>5</v>
      </c>
      <c r="Y26" s="127" t="s">
        <v>5</v>
      </c>
      <c r="Z26" s="127" t="s">
        <v>5</v>
      </c>
    </row>
    <row r="27" spans="2:26" ht="24" customHeight="1" x14ac:dyDescent="0.25">
      <c r="B27" s="76" t="s">
        <v>559</v>
      </c>
      <c r="C27" s="128">
        <v>0</v>
      </c>
      <c r="D27" s="128">
        <v>0</v>
      </c>
      <c r="E27" s="14"/>
      <c r="F27" s="128">
        <v>-42989</v>
      </c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</row>
    <row r="28" spans="2:26" ht="24" customHeight="1" x14ac:dyDescent="0.25">
      <c r="B28" s="40" t="s">
        <v>215</v>
      </c>
      <c r="C28" s="127">
        <v>0</v>
      </c>
      <c r="D28" s="127">
        <v>0</v>
      </c>
      <c r="E28" s="14"/>
      <c r="F28" s="127" t="s">
        <v>5</v>
      </c>
      <c r="G28" s="127">
        <v>-288308</v>
      </c>
      <c r="H28" s="127" t="s">
        <v>5</v>
      </c>
      <c r="I28" s="127" t="s">
        <v>5</v>
      </c>
      <c r="J28" s="127">
        <v>-30487</v>
      </c>
      <c r="K28" s="127"/>
      <c r="L28" s="127" t="s">
        <v>5</v>
      </c>
      <c r="M28" s="127">
        <v>-6644</v>
      </c>
      <c r="N28" s="127" t="s">
        <v>5</v>
      </c>
      <c r="O28" s="127"/>
      <c r="P28" s="127" t="s">
        <v>5</v>
      </c>
      <c r="Q28" s="127" t="s">
        <v>5</v>
      </c>
      <c r="R28" s="127" t="s">
        <v>5</v>
      </c>
      <c r="S28" s="127" t="s">
        <v>5</v>
      </c>
      <c r="T28" s="127" t="s">
        <v>5</v>
      </c>
      <c r="U28" s="127" t="s">
        <v>5</v>
      </c>
      <c r="V28" s="127" t="s">
        <v>5</v>
      </c>
      <c r="W28" s="127" t="s">
        <v>5</v>
      </c>
      <c r="X28" s="127" t="s">
        <v>5</v>
      </c>
      <c r="Y28" s="127" t="s">
        <v>5</v>
      </c>
      <c r="Z28" s="127" t="s">
        <v>5</v>
      </c>
    </row>
    <row r="29" spans="2:26" ht="24" customHeight="1" x14ac:dyDescent="0.25">
      <c r="B29" s="76" t="s">
        <v>216</v>
      </c>
      <c r="C29" s="128">
        <v>106190</v>
      </c>
      <c r="D29" s="128">
        <v>143051</v>
      </c>
      <c r="E29" s="14"/>
      <c r="F29" s="128">
        <v>103263</v>
      </c>
      <c r="G29" s="128">
        <v>185091</v>
      </c>
      <c r="H29" s="128">
        <v>110341</v>
      </c>
      <c r="I29" s="128">
        <v>143051</v>
      </c>
      <c r="J29" s="128">
        <v>65533</v>
      </c>
      <c r="K29" s="128">
        <v>393015</v>
      </c>
      <c r="L29" s="128">
        <v>68214</v>
      </c>
      <c r="M29" s="128">
        <v>65888</v>
      </c>
      <c r="N29" s="128">
        <v>30551</v>
      </c>
      <c r="O29" s="128">
        <v>393425</v>
      </c>
      <c r="P29" s="128">
        <v>71766</v>
      </c>
      <c r="Q29" s="128">
        <v>77580</v>
      </c>
      <c r="R29" s="128">
        <v>77000</v>
      </c>
      <c r="S29" s="128">
        <v>295635</v>
      </c>
      <c r="T29" s="128">
        <v>67953</v>
      </c>
      <c r="U29" s="128">
        <v>72673</v>
      </c>
      <c r="V29" s="128">
        <v>54005</v>
      </c>
      <c r="W29" s="128">
        <v>495357</v>
      </c>
      <c r="X29" s="128">
        <v>94741</v>
      </c>
      <c r="Y29" s="128">
        <v>41922</v>
      </c>
      <c r="Z29" s="128">
        <v>51932</v>
      </c>
    </row>
    <row r="30" spans="2:26" ht="19.5" thickBot="1" x14ac:dyDescent="0.3">
      <c r="B30" s="41" t="s">
        <v>59</v>
      </c>
      <c r="C30" s="310">
        <f>SUM(C12:C29)</f>
        <v>7441898</v>
      </c>
      <c r="D30" s="310">
        <f>SUM(D12:D29)</f>
        <v>7313127</v>
      </c>
      <c r="E30" s="14"/>
      <c r="F30" s="310">
        <f>SUM(F12:F29)</f>
        <v>7465676</v>
      </c>
      <c r="G30" s="310">
        <f>SUM(G12:G29)</f>
        <v>8003925</v>
      </c>
      <c r="H30" s="310">
        <f>SUM(H12:H29)</f>
        <v>7803049</v>
      </c>
      <c r="I30" s="310">
        <v>7313127</v>
      </c>
      <c r="J30" s="310">
        <v>6940673</v>
      </c>
      <c r="K30" s="310">
        <v>29675026</v>
      </c>
      <c r="L30" s="310">
        <v>7977811</v>
      </c>
      <c r="M30" s="310">
        <v>8484174</v>
      </c>
      <c r="N30" s="310">
        <v>6398972</v>
      </c>
      <c r="O30" s="310">
        <v>28236343</v>
      </c>
      <c r="P30" s="310">
        <v>8307517</v>
      </c>
      <c r="Q30" s="310">
        <v>6159165</v>
      </c>
      <c r="R30" s="310">
        <v>5736896</v>
      </c>
      <c r="S30" s="310">
        <v>21431871</v>
      </c>
      <c r="T30" s="310">
        <v>5152922</v>
      </c>
      <c r="U30" s="310">
        <v>4917140</v>
      </c>
      <c r="V30" s="310">
        <v>5018133</v>
      </c>
      <c r="W30" s="310">
        <v>22475253</v>
      </c>
      <c r="X30" s="310">
        <v>6486375</v>
      </c>
      <c r="Y30" s="310">
        <v>5489685</v>
      </c>
      <c r="Z30" s="310">
        <v>4750116</v>
      </c>
    </row>
    <row r="31" spans="2:26" ht="15.75" thickTop="1" x14ac:dyDescent="0.25">
      <c r="C31" s="112">
        <f>SUM(C12:C29)-C30</f>
        <v>0</v>
      </c>
      <c r="D31" s="112">
        <f>SUM(D12:D29)-D30</f>
        <v>0</v>
      </c>
      <c r="E31" s="112"/>
      <c r="F31" s="112"/>
      <c r="G31" s="112"/>
      <c r="I31" s="112"/>
      <c r="J31" s="112"/>
      <c r="K31" s="112"/>
      <c r="L31" s="112"/>
      <c r="M31" s="105"/>
    </row>
    <row r="32" spans="2:26" x14ac:dyDescent="0.25">
      <c r="C32" s="112">
        <f>DRE!C19+DRE!C27+C30</f>
        <v>0</v>
      </c>
      <c r="D32" s="112">
        <f>DRE!D19+DRE!D27+D30</f>
        <v>0</v>
      </c>
      <c r="E32" s="112"/>
      <c r="F32" s="112"/>
      <c r="G32" s="112"/>
      <c r="I32" s="112">
        <f>SUM(I12:I29)-I30</f>
        <v>0</v>
      </c>
      <c r="J32" s="112">
        <f t="shared" ref="J32:Z32" si="0">SUM(J12:J29)-J30</f>
        <v>0</v>
      </c>
      <c r="K32" s="112">
        <f t="shared" si="0"/>
        <v>0</v>
      </c>
      <c r="L32" s="112">
        <f t="shared" si="0"/>
        <v>0</v>
      </c>
      <c r="M32" s="112">
        <f t="shared" si="0"/>
        <v>0</v>
      </c>
      <c r="N32" s="112">
        <f t="shared" si="0"/>
        <v>0</v>
      </c>
      <c r="O32" s="112">
        <f t="shared" si="0"/>
        <v>0</v>
      </c>
      <c r="P32" s="112">
        <f t="shared" si="0"/>
        <v>0</v>
      </c>
      <c r="Q32" s="112">
        <f t="shared" si="0"/>
        <v>0</v>
      </c>
      <c r="R32" s="112">
        <f t="shared" si="0"/>
        <v>0</v>
      </c>
      <c r="S32" s="112">
        <f t="shared" si="0"/>
        <v>0</v>
      </c>
      <c r="T32" s="112">
        <f t="shared" si="0"/>
        <v>0</v>
      </c>
      <c r="U32" s="112">
        <f t="shared" si="0"/>
        <v>0</v>
      </c>
      <c r="V32" s="112">
        <f t="shared" si="0"/>
        <v>0</v>
      </c>
      <c r="W32" s="112">
        <f t="shared" si="0"/>
        <v>0</v>
      </c>
      <c r="X32" s="112">
        <f t="shared" si="0"/>
        <v>0</v>
      </c>
      <c r="Y32" s="112">
        <f t="shared" si="0"/>
        <v>0</v>
      </c>
      <c r="Z32" s="112">
        <f t="shared" si="0"/>
        <v>0</v>
      </c>
    </row>
    <row r="33" spans="6:26" x14ac:dyDescent="0.25">
      <c r="F33" s="112"/>
      <c r="G33" s="112"/>
      <c r="I33" s="112">
        <f>DRE!J19+DRE!J27+I30</f>
        <v>0</v>
      </c>
      <c r="J33" s="112">
        <f>DRE!K19+DRE!K27+J30</f>
        <v>0</v>
      </c>
      <c r="K33" s="112">
        <f>DRE!L19+DRE!L27+K30</f>
        <v>0</v>
      </c>
      <c r="L33" s="112">
        <f>DRE!M19+DRE!M27+L30</f>
        <v>0</v>
      </c>
      <c r="M33" s="112">
        <f>DRE!N19+DRE!N27+M30</f>
        <v>0</v>
      </c>
      <c r="N33" s="112">
        <f>DRE!O19+DRE!O27+N30</f>
        <v>0</v>
      </c>
      <c r="O33" s="112">
        <f>DRE!P19+DRE!P27+O30</f>
        <v>0</v>
      </c>
      <c r="P33" s="112">
        <f>DRE!Q19+DRE!Q27+P30</f>
        <v>0</v>
      </c>
      <c r="Q33" s="112">
        <f>DRE!R19+DRE!R27+Q30</f>
        <v>0</v>
      </c>
      <c r="R33" s="112">
        <f>DRE!S19+DRE!S27+R30</f>
        <v>0</v>
      </c>
      <c r="S33" s="112">
        <f>DRE!T19+DRE!T27+S30</f>
        <v>0</v>
      </c>
      <c r="T33" s="112">
        <f>DRE!U19+DRE!U27+T30</f>
        <v>0</v>
      </c>
      <c r="U33" s="112">
        <f>DRE!V19+DRE!V27+U30</f>
        <v>0</v>
      </c>
      <c r="V33" s="112">
        <f>DRE!W19+DRE!W27+V30</f>
        <v>0</v>
      </c>
      <c r="W33" s="112">
        <f>DRE!X19+DRE!X27+W30</f>
        <v>0</v>
      </c>
      <c r="X33" s="112">
        <f>DRE!Y19+DRE!Y27+X30</f>
        <v>0</v>
      </c>
      <c r="Y33" s="112">
        <f>DRE!Z19+DRE!Z27+Y30</f>
        <v>0</v>
      </c>
      <c r="Z33" s="112" t="e">
        <f>DRE!#REF!+DRE!#REF!+Z30</f>
        <v>#REF!</v>
      </c>
    </row>
    <row r="34" spans="6:26" x14ac:dyDescent="0.25">
      <c r="F34" s="23"/>
      <c r="G34" s="23"/>
      <c r="H34" s="23"/>
      <c r="I34" s="23"/>
      <c r="K34" s="23"/>
      <c r="L34" s="23"/>
    </row>
    <row r="35" spans="6:26" x14ac:dyDescent="0.25">
      <c r="F35" s="23"/>
      <c r="G35" s="23"/>
      <c r="H35" s="23"/>
      <c r="I35" s="23"/>
      <c r="K35" s="23"/>
      <c r="L35" s="23"/>
    </row>
    <row r="36" spans="6:26" x14ac:dyDescent="0.25">
      <c r="F36" s="23"/>
      <c r="G36" s="23"/>
      <c r="H36" s="23"/>
      <c r="I36" s="23"/>
      <c r="K36" s="23"/>
      <c r="L36" s="23"/>
    </row>
    <row r="37" spans="6:26" x14ac:dyDescent="0.25">
      <c r="F37" s="23"/>
      <c r="G37" s="23"/>
      <c r="H37" s="23"/>
      <c r="I37" s="23"/>
      <c r="K37" s="23"/>
      <c r="L37" s="23"/>
    </row>
    <row r="38" spans="6:26" x14ac:dyDescent="0.25">
      <c r="F38" s="23"/>
      <c r="G38" s="23"/>
      <c r="H38" s="23"/>
      <c r="I38" s="23"/>
      <c r="K38" s="23"/>
      <c r="L38" s="23"/>
    </row>
    <row r="39" spans="6:26" x14ac:dyDescent="0.25">
      <c r="F39" s="23"/>
      <c r="G39" s="23"/>
      <c r="H39" s="23"/>
      <c r="I39" s="23"/>
      <c r="K39" s="23"/>
      <c r="L39" s="23"/>
    </row>
    <row r="40" spans="6:26" x14ac:dyDescent="0.25">
      <c r="F40" s="23"/>
      <c r="G40" s="23"/>
      <c r="H40" s="23"/>
      <c r="I40" s="23"/>
      <c r="K40" s="23"/>
      <c r="L40" s="23"/>
    </row>
    <row r="41" spans="6:26" x14ac:dyDescent="0.25">
      <c r="F41" s="23"/>
      <c r="G41" s="23"/>
      <c r="H41" s="23"/>
      <c r="I41" s="23"/>
      <c r="K41" s="23"/>
      <c r="L41" s="23"/>
    </row>
    <row r="42" spans="6:26" x14ac:dyDescent="0.25">
      <c r="F42" s="23"/>
      <c r="G42" s="23"/>
      <c r="H42" s="23"/>
      <c r="I42" s="23"/>
      <c r="K42" s="23"/>
      <c r="L42" s="23"/>
    </row>
    <row r="43" spans="6:26" x14ac:dyDescent="0.25">
      <c r="F43" s="23"/>
      <c r="G43" s="23"/>
      <c r="H43" s="23"/>
      <c r="I43" s="23"/>
      <c r="K43" s="23"/>
      <c r="L43" s="23"/>
    </row>
    <row r="44" spans="6:26" x14ac:dyDescent="0.25">
      <c r="F44" s="23"/>
      <c r="G44" s="23"/>
      <c r="H44" s="23"/>
      <c r="I44" s="23"/>
      <c r="K44" s="23"/>
      <c r="L44" s="23"/>
    </row>
  </sheetData>
  <mergeCells count="3">
    <mergeCell ref="B10:B11"/>
    <mergeCell ref="C10:D10"/>
    <mergeCell ref="F10:Z10"/>
  </mergeCells>
  <conditionalFormatting sqref="F33:G33 C31:G32">
    <cfRule type="cellIs" dxfId="55" priority="4" operator="notEqual">
      <formula>0</formula>
    </cfRule>
  </conditionalFormatting>
  <conditionalFormatting sqref="I31:L31">
    <cfRule type="cellIs" dxfId="54" priority="6" operator="notEqual">
      <formula>0</formula>
    </cfRule>
  </conditionalFormatting>
  <conditionalFormatting sqref="I32:Z33">
    <cfRule type="cellIs" dxfId="53" priority="3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ilha11"/>
  <dimension ref="B5:Y38"/>
  <sheetViews>
    <sheetView showGridLines="0" showRowColHeaders="0" zoomScale="85" zoomScaleNormal="85" workbookViewId="0"/>
  </sheetViews>
  <sheetFormatPr defaultColWidth="8.7109375" defaultRowHeight="15" customHeight="1" x14ac:dyDescent="0.25"/>
  <cols>
    <col min="1" max="1" width="9.85546875" customWidth="1"/>
    <col min="2" max="2" width="52.7109375" customWidth="1"/>
    <col min="3" max="4" width="16.85546875" customWidth="1"/>
    <col min="5" max="5" width="7.7109375" customWidth="1"/>
    <col min="6" max="6" width="13.7109375" customWidth="1"/>
    <col min="7" max="7" width="14.140625" customWidth="1"/>
    <col min="8" max="20" width="10.28515625" bestFit="1" customWidth="1"/>
    <col min="21" max="22" width="9.140625" bestFit="1" customWidth="1"/>
    <col min="23" max="24" width="10.28515625" bestFit="1" customWidth="1"/>
    <col min="25" max="25" width="9.140625" bestFit="1" customWidth="1"/>
  </cols>
  <sheetData>
    <row r="5" spans="2:25" ht="15" customHeight="1" x14ac:dyDescent="0.25">
      <c r="B5" s="121"/>
      <c r="C5" s="121"/>
      <c r="D5" s="121"/>
      <c r="E5" s="121"/>
      <c r="F5" s="121"/>
      <c r="G5" s="121"/>
      <c r="H5" s="121"/>
      <c r="I5" s="121"/>
      <c r="J5" s="14"/>
      <c r="K5" s="14"/>
      <c r="L5" s="14"/>
    </row>
    <row r="6" spans="2:25" ht="15" customHeight="1" x14ac:dyDescent="0.25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2:25" ht="18.75" x14ac:dyDescent="0.25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2:25" ht="17.25" customHeight="1" x14ac:dyDescent="0.25">
      <c r="B8" s="17" t="s">
        <v>130</v>
      </c>
      <c r="C8" s="17"/>
      <c r="D8" s="17"/>
      <c r="E8" s="2"/>
      <c r="F8" s="2"/>
      <c r="G8" s="2"/>
      <c r="H8" s="2"/>
      <c r="I8" s="2"/>
    </row>
    <row r="9" spans="2:25" ht="21" customHeight="1" x14ac:dyDescent="0.25">
      <c r="B9" s="380"/>
      <c r="C9" s="378" t="s">
        <v>539</v>
      </c>
      <c r="D9" s="378"/>
      <c r="E9" s="2"/>
      <c r="F9" s="377" t="s">
        <v>131</v>
      </c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</row>
    <row r="10" spans="2:25" ht="21" customHeight="1" x14ac:dyDescent="0.25">
      <c r="B10" s="381"/>
      <c r="C10" s="157" t="s">
        <v>563</v>
      </c>
      <c r="D10" s="157" t="s">
        <v>134</v>
      </c>
      <c r="E10" s="2"/>
      <c r="F10" s="157" t="s">
        <v>548</v>
      </c>
      <c r="G10" s="157" t="s">
        <v>540</v>
      </c>
      <c r="H10" s="157" t="s">
        <v>133</v>
      </c>
      <c r="I10" s="69" t="s">
        <v>134</v>
      </c>
      <c r="J10" s="69" t="s">
        <v>135</v>
      </c>
      <c r="K10" s="69">
        <v>2022</v>
      </c>
      <c r="L10" s="69" t="s">
        <v>136</v>
      </c>
      <c r="M10" s="69" t="s">
        <v>137</v>
      </c>
      <c r="N10" s="69" t="s">
        <v>138</v>
      </c>
      <c r="O10" s="69">
        <v>2021</v>
      </c>
      <c r="P10" s="69" t="s">
        <v>139</v>
      </c>
      <c r="Q10" s="69" t="s">
        <v>140</v>
      </c>
      <c r="R10" s="69" t="s">
        <v>141</v>
      </c>
      <c r="S10" s="69">
        <v>2020</v>
      </c>
      <c r="T10" s="69" t="s">
        <v>142</v>
      </c>
      <c r="U10" s="69" t="s">
        <v>143</v>
      </c>
      <c r="V10" s="69" t="s">
        <v>144</v>
      </c>
      <c r="W10" s="69">
        <v>2019</v>
      </c>
      <c r="X10" s="69" t="s">
        <v>145</v>
      </c>
      <c r="Y10" s="69" t="s">
        <v>146</v>
      </c>
    </row>
    <row r="11" spans="2:25" ht="24" customHeight="1" x14ac:dyDescent="0.25">
      <c r="B11" s="62" t="s">
        <v>217</v>
      </c>
      <c r="C11" s="129">
        <v>304286</v>
      </c>
      <c r="D11" s="127">
        <v>310711</v>
      </c>
      <c r="E11" s="2"/>
      <c r="F11" s="129">
        <v>268696</v>
      </c>
      <c r="G11" s="129">
        <v>310765</v>
      </c>
      <c r="H11" s="127">
        <v>323440</v>
      </c>
      <c r="I11" s="127">
        <v>310711</v>
      </c>
      <c r="J11" s="127">
        <v>262175</v>
      </c>
      <c r="K11" s="127">
        <v>1644066</v>
      </c>
      <c r="L11" s="127">
        <v>425463</v>
      </c>
      <c r="M11" s="127">
        <v>409856</v>
      </c>
      <c r="N11" s="127">
        <v>394055</v>
      </c>
      <c r="O11" s="127">
        <v>1945788</v>
      </c>
      <c r="P11" s="127">
        <v>479619</v>
      </c>
      <c r="Q11" s="127">
        <v>480103</v>
      </c>
      <c r="R11" s="127">
        <v>487525</v>
      </c>
      <c r="S11" s="127">
        <v>1990221</v>
      </c>
      <c r="T11" s="127">
        <v>531183</v>
      </c>
      <c r="U11" s="127">
        <v>524601</v>
      </c>
      <c r="V11" s="127">
        <v>427812</v>
      </c>
      <c r="W11" s="127">
        <v>1429355</v>
      </c>
      <c r="X11" s="127">
        <v>372296</v>
      </c>
      <c r="Y11" s="127">
        <v>361021</v>
      </c>
    </row>
    <row r="12" spans="2:25" ht="24" customHeight="1" x14ac:dyDescent="0.25">
      <c r="B12" s="62" t="s">
        <v>218</v>
      </c>
      <c r="C12" s="129">
        <v>214415</v>
      </c>
      <c r="D12" s="128">
        <v>228692</v>
      </c>
      <c r="E12" s="2"/>
      <c r="F12" s="129">
        <v>220391</v>
      </c>
      <c r="G12" s="129">
        <v>243828</v>
      </c>
      <c r="H12" s="128">
        <v>219039</v>
      </c>
      <c r="I12" s="128">
        <v>228692</v>
      </c>
      <c r="J12" s="128">
        <v>226248</v>
      </c>
      <c r="K12" s="128">
        <v>924520</v>
      </c>
      <c r="L12" s="128">
        <v>241655</v>
      </c>
      <c r="M12" s="128">
        <v>221471</v>
      </c>
      <c r="N12" s="128">
        <v>214718</v>
      </c>
      <c r="O12" s="128">
        <v>831884</v>
      </c>
      <c r="P12" s="128">
        <v>215325</v>
      </c>
      <c r="Q12" s="128">
        <v>199451</v>
      </c>
      <c r="R12" s="128">
        <v>202065</v>
      </c>
      <c r="S12" s="128">
        <v>780025</v>
      </c>
      <c r="T12" s="128">
        <v>197520</v>
      </c>
      <c r="U12" s="128">
        <v>189617</v>
      </c>
      <c r="V12" s="128">
        <v>189833</v>
      </c>
      <c r="W12" s="128">
        <v>714957</v>
      </c>
      <c r="X12" s="128">
        <v>163052</v>
      </c>
      <c r="Y12" s="128">
        <v>185427</v>
      </c>
    </row>
    <row r="13" spans="2:25" ht="24" customHeight="1" x14ac:dyDescent="0.25">
      <c r="B13" s="62" t="s">
        <v>219</v>
      </c>
      <c r="C13" s="129">
        <v>94393</v>
      </c>
      <c r="D13" s="127">
        <v>89918</v>
      </c>
      <c r="E13" s="2"/>
      <c r="F13" s="129">
        <v>94399</v>
      </c>
      <c r="G13" s="129">
        <v>91736</v>
      </c>
      <c r="H13" s="127">
        <v>92000</v>
      </c>
      <c r="I13" s="127">
        <v>89918</v>
      </c>
      <c r="J13" s="127">
        <v>89917</v>
      </c>
      <c r="K13" s="127">
        <v>357192</v>
      </c>
      <c r="L13" s="127">
        <v>89298</v>
      </c>
      <c r="M13" s="127">
        <v>89298</v>
      </c>
      <c r="N13" s="127">
        <v>89298</v>
      </c>
      <c r="O13" s="127">
        <v>244577</v>
      </c>
      <c r="P13" s="127">
        <v>61144</v>
      </c>
      <c r="Q13" s="127">
        <v>61145</v>
      </c>
      <c r="R13" s="127">
        <v>61144</v>
      </c>
      <c r="S13" s="127">
        <v>302969</v>
      </c>
      <c r="T13" s="127">
        <v>75742</v>
      </c>
      <c r="U13" s="127">
        <v>75742</v>
      </c>
      <c r="V13" s="127">
        <v>75742</v>
      </c>
      <c r="W13" s="127">
        <v>269173</v>
      </c>
      <c r="X13" s="127">
        <v>67293</v>
      </c>
      <c r="Y13" s="127">
        <v>67293</v>
      </c>
    </row>
    <row r="14" spans="2:25" ht="24" customHeight="1" x14ac:dyDescent="0.25">
      <c r="B14" s="62" t="s">
        <v>220</v>
      </c>
      <c r="C14" s="129">
        <v>132881</v>
      </c>
      <c r="D14" s="128">
        <v>141020</v>
      </c>
      <c r="E14" s="2"/>
      <c r="F14" s="129">
        <v>63761</v>
      </c>
      <c r="G14" s="129">
        <v>119014</v>
      </c>
      <c r="H14" s="128">
        <v>107621</v>
      </c>
      <c r="I14" s="128">
        <v>141020</v>
      </c>
      <c r="J14" s="128">
        <v>110319</v>
      </c>
      <c r="K14" s="128">
        <v>529588</v>
      </c>
      <c r="L14" s="128">
        <v>195796</v>
      </c>
      <c r="M14" s="128">
        <v>136051</v>
      </c>
      <c r="N14" s="128">
        <v>93764</v>
      </c>
      <c r="O14" s="128">
        <v>1224155</v>
      </c>
      <c r="P14" s="128">
        <v>800388</v>
      </c>
      <c r="Q14" s="128">
        <v>323914</v>
      </c>
      <c r="R14" s="128">
        <v>39332</v>
      </c>
      <c r="S14" s="128">
        <v>1496785</v>
      </c>
      <c r="T14" s="128">
        <v>193868</v>
      </c>
      <c r="U14" s="128">
        <v>251066</v>
      </c>
      <c r="V14" s="128">
        <v>381937</v>
      </c>
      <c r="W14" s="128">
        <v>1886472</v>
      </c>
      <c r="X14" s="128">
        <v>486177</v>
      </c>
      <c r="Y14" s="128">
        <v>278055</v>
      </c>
    </row>
    <row r="15" spans="2:25" ht="24" customHeight="1" x14ac:dyDescent="0.25">
      <c r="B15" s="62" t="s">
        <v>221</v>
      </c>
      <c r="C15" s="129">
        <v>116081</v>
      </c>
      <c r="D15" s="127">
        <v>127895</v>
      </c>
      <c r="E15" s="2"/>
      <c r="F15" s="129">
        <v>113113</v>
      </c>
      <c r="G15" s="129">
        <v>126923</v>
      </c>
      <c r="H15" s="127">
        <v>127894</v>
      </c>
      <c r="I15" s="127">
        <v>127895</v>
      </c>
      <c r="J15" s="127">
        <v>127894</v>
      </c>
      <c r="K15" s="127">
        <v>597815</v>
      </c>
      <c r="L15" s="127">
        <v>151414</v>
      </c>
      <c r="M15" s="127">
        <v>151413</v>
      </c>
      <c r="N15" s="127">
        <v>151414</v>
      </c>
      <c r="O15" s="127">
        <v>400638</v>
      </c>
      <c r="P15" s="127">
        <v>95500</v>
      </c>
      <c r="Q15" s="127">
        <v>95500</v>
      </c>
      <c r="R15" s="127">
        <v>95500</v>
      </c>
      <c r="S15" s="127">
        <v>317588</v>
      </c>
      <c r="T15" s="127">
        <v>77933</v>
      </c>
      <c r="U15" s="127">
        <v>77933</v>
      </c>
      <c r="V15" s="127">
        <v>77933</v>
      </c>
      <c r="W15" s="127">
        <v>375442</v>
      </c>
      <c r="X15" s="127">
        <v>95308</v>
      </c>
      <c r="Y15" s="127">
        <v>95309</v>
      </c>
    </row>
    <row r="16" spans="2:25" ht="24" customHeight="1" x14ac:dyDescent="0.25">
      <c r="B16" s="62" t="s">
        <v>222</v>
      </c>
      <c r="C16" s="129">
        <v>122958</v>
      </c>
      <c r="D16" s="128">
        <v>127295</v>
      </c>
      <c r="E16" s="2"/>
      <c r="F16" s="129">
        <v>127290</v>
      </c>
      <c r="G16" s="129">
        <v>128695</v>
      </c>
      <c r="H16" s="128">
        <v>128695</v>
      </c>
      <c r="I16" s="128">
        <v>127295</v>
      </c>
      <c r="J16" s="128">
        <v>125429</v>
      </c>
      <c r="K16" s="128">
        <v>492855</v>
      </c>
      <c r="L16" s="128">
        <v>128054</v>
      </c>
      <c r="M16" s="128">
        <v>126663</v>
      </c>
      <c r="N16" s="128">
        <v>110083</v>
      </c>
      <c r="O16" s="128">
        <v>417728</v>
      </c>
      <c r="P16" s="128">
        <v>111317</v>
      </c>
      <c r="Q16" s="128">
        <v>110107</v>
      </c>
      <c r="R16" s="128">
        <v>84987</v>
      </c>
      <c r="S16" s="128">
        <v>333676</v>
      </c>
      <c r="T16" s="128">
        <v>85142</v>
      </c>
      <c r="U16" s="128">
        <v>84216</v>
      </c>
      <c r="V16" s="128">
        <v>79176</v>
      </c>
      <c r="W16" s="128">
        <v>310979</v>
      </c>
      <c r="X16" s="128">
        <v>79750</v>
      </c>
      <c r="Y16" s="128">
        <v>78883</v>
      </c>
    </row>
    <row r="17" spans="2:25" ht="24" customHeight="1" x14ac:dyDescent="0.25">
      <c r="B17" s="62" t="s">
        <v>223</v>
      </c>
      <c r="C17" s="129">
        <v>1035152</v>
      </c>
      <c r="D17" s="127">
        <v>980749</v>
      </c>
      <c r="E17" s="2"/>
      <c r="F17" s="129">
        <v>1001518</v>
      </c>
      <c r="G17" s="129">
        <v>1043326</v>
      </c>
      <c r="H17" s="127">
        <v>979149</v>
      </c>
      <c r="I17" s="127">
        <v>980749</v>
      </c>
      <c r="J17" s="127">
        <v>937269</v>
      </c>
      <c r="K17" s="127">
        <v>3334482</v>
      </c>
      <c r="L17" s="127">
        <v>910654</v>
      </c>
      <c r="M17" s="127">
        <v>828069</v>
      </c>
      <c r="N17" s="127">
        <v>625633</v>
      </c>
      <c r="O17" s="127">
        <v>6242369</v>
      </c>
      <c r="P17" s="127">
        <v>2091386</v>
      </c>
      <c r="Q17" s="127">
        <v>1036952</v>
      </c>
      <c r="R17" s="127">
        <v>1122835</v>
      </c>
      <c r="S17" s="127">
        <v>3334408</v>
      </c>
      <c r="T17" s="127">
        <v>766561</v>
      </c>
      <c r="U17" s="127">
        <v>748514</v>
      </c>
      <c r="V17" s="127">
        <v>819439</v>
      </c>
      <c r="W17" s="127">
        <v>3021012</v>
      </c>
      <c r="X17" s="127">
        <v>816193</v>
      </c>
      <c r="Y17" s="127">
        <v>684774</v>
      </c>
    </row>
    <row r="18" spans="2:25" ht="24" customHeight="1" x14ac:dyDescent="0.25">
      <c r="B18" s="62" t="s">
        <v>224</v>
      </c>
      <c r="C18" s="129">
        <v>1269988</v>
      </c>
      <c r="D18" s="128">
        <v>1265440</v>
      </c>
      <c r="E18" s="2"/>
      <c r="F18" s="129">
        <v>1239531</v>
      </c>
      <c r="G18" s="129">
        <v>1551187</v>
      </c>
      <c r="H18" s="128">
        <v>1569959</v>
      </c>
      <c r="I18" s="128">
        <v>1265440</v>
      </c>
      <c r="J18" s="128">
        <v>1225659</v>
      </c>
      <c r="K18" s="128">
        <v>6003112</v>
      </c>
      <c r="L18" s="128">
        <v>1853431</v>
      </c>
      <c r="M18" s="128">
        <v>1302375</v>
      </c>
      <c r="N18" s="128">
        <v>1230940</v>
      </c>
      <c r="O18" s="128">
        <v>4976410</v>
      </c>
      <c r="P18" s="128">
        <v>1596409</v>
      </c>
      <c r="Q18" s="128">
        <v>1023322</v>
      </c>
      <c r="R18" s="128">
        <v>1035843</v>
      </c>
      <c r="S18" s="128">
        <v>3976906</v>
      </c>
      <c r="T18" s="128">
        <v>1142123</v>
      </c>
      <c r="U18" s="128">
        <v>900703</v>
      </c>
      <c r="V18" s="128">
        <v>843106</v>
      </c>
      <c r="W18" s="128">
        <v>4097596</v>
      </c>
      <c r="X18" s="128">
        <v>1168392</v>
      </c>
      <c r="Y18" s="128">
        <v>973506</v>
      </c>
    </row>
    <row r="19" spans="2:25" ht="24" customHeight="1" x14ac:dyDescent="0.25">
      <c r="B19" s="62" t="s">
        <v>225</v>
      </c>
      <c r="C19" s="129">
        <v>697974</v>
      </c>
      <c r="D19" s="127">
        <v>491669</v>
      </c>
      <c r="E19" s="2"/>
      <c r="F19" s="129">
        <v>663764</v>
      </c>
      <c r="G19" s="129">
        <v>669582</v>
      </c>
      <c r="H19" s="127">
        <v>551037</v>
      </c>
      <c r="I19" s="127">
        <v>491669</v>
      </c>
      <c r="J19" s="127">
        <v>618732</v>
      </c>
      <c r="K19" s="127">
        <v>1977195</v>
      </c>
      <c r="L19" s="127">
        <v>490163</v>
      </c>
      <c r="M19" s="127">
        <v>472641</v>
      </c>
      <c r="N19" s="127">
        <v>453589</v>
      </c>
      <c r="O19" s="127">
        <v>1268173</v>
      </c>
      <c r="P19" s="127">
        <v>338612</v>
      </c>
      <c r="Q19" s="127">
        <v>273757</v>
      </c>
      <c r="R19" s="127">
        <v>255024</v>
      </c>
      <c r="S19" s="127">
        <v>678113</v>
      </c>
      <c r="T19" s="127">
        <v>157551</v>
      </c>
      <c r="U19" s="127">
        <v>154315</v>
      </c>
      <c r="V19" s="127">
        <v>173481</v>
      </c>
      <c r="W19" s="127">
        <v>206863</v>
      </c>
      <c r="X19" s="127">
        <v>54491</v>
      </c>
      <c r="Y19" s="127">
        <v>44892</v>
      </c>
    </row>
    <row r="20" spans="2:25" ht="24" customHeight="1" x14ac:dyDescent="0.25">
      <c r="B20" s="62" t="s">
        <v>226</v>
      </c>
      <c r="C20" s="130">
        <v>-294901</v>
      </c>
      <c r="D20" s="128">
        <v>-294996</v>
      </c>
      <c r="E20" s="2"/>
      <c r="F20" s="130">
        <v>-281831</v>
      </c>
      <c r="G20" s="130">
        <v>-327906</v>
      </c>
      <c r="H20" s="128">
        <v>-320354</v>
      </c>
      <c r="I20" s="128">
        <v>-294996</v>
      </c>
      <c r="J20" s="128">
        <v>-279575</v>
      </c>
      <c r="K20" s="128">
        <v>-1246840</v>
      </c>
      <c r="L20" s="128">
        <v>-360253</v>
      </c>
      <c r="M20" s="128">
        <v>-291876</v>
      </c>
      <c r="N20" s="128">
        <v>-260112</v>
      </c>
      <c r="O20" s="128">
        <v>-1450468</v>
      </c>
      <c r="P20" s="128">
        <v>-487395</v>
      </c>
      <c r="Q20" s="128">
        <v>-295017</v>
      </c>
      <c r="R20" s="128">
        <v>-276141</v>
      </c>
      <c r="S20" s="128">
        <v>-1099202</v>
      </c>
      <c r="T20" s="128">
        <v>-268944</v>
      </c>
      <c r="U20" s="128">
        <v>-251469</v>
      </c>
      <c r="V20" s="128">
        <v>-253964</v>
      </c>
      <c r="W20" s="128">
        <v>-1025675</v>
      </c>
      <c r="X20" s="128">
        <v>-268844</v>
      </c>
      <c r="Y20" s="128">
        <v>-243141</v>
      </c>
    </row>
    <row r="21" spans="2:25" ht="24" customHeight="1" thickBot="1" x14ac:dyDescent="0.3">
      <c r="B21" s="61" t="s">
        <v>227</v>
      </c>
      <c r="C21" s="131">
        <f>SUM(C11:C20)</f>
        <v>3693227</v>
      </c>
      <c r="D21" s="131">
        <v>3444067</v>
      </c>
      <c r="E21" s="2"/>
      <c r="F21" s="131">
        <f>SUM(F11:F20)</f>
        <v>3510632</v>
      </c>
      <c r="G21" s="131">
        <v>3957150</v>
      </c>
      <c r="H21" s="131">
        <v>3778480</v>
      </c>
      <c r="I21" s="131">
        <v>3468393</v>
      </c>
      <c r="J21" s="131">
        <v>3444067</v>
      </c>
      <c r="K21" s="131">
        <v>14613985</v>
      </c>
      <c r="L21" s="131">
        <v>4125675</v>
      </c>
      <c r="M21" s="131">
        <v>3445961</v>
      </c>
      <c r="N21" s="131">
        <v>3103382</v>
      </c>
      <c r="O21" s="131">
        <v>16101254</v>
      </c>
      <c r="P21" s="131">
        <v>5302305</v>
      </c>
      <c r="Q21" s="131">
        <v>3309234</v>
      </c>
      <c r="R21" s="131">
        <v>3108114</v>
      </c>
      <c r="S21" s="131">
        <v>12111489</v>
      </c>
      <c r="T21" s="131">
        <v>2958679</v>
      </c>
      <c r="U21" s="131">
        <v>2755238</v>
      </c>
      <c r="V21" s="131">
        <v>2814495</v>
      </c>
      <c r="W21" s="131">
        <v>11286174</v>
      </c>
      <c r="X21" s="131">
        <v>3034108</v>
      </c>
      <c r="Y21" s="131">
        <v>2526019</v>
      </c>
    </row>
    <row r="22" spans="2:25" ht="15.75" thickTop="1" x14ac:dyDescent="0.25">
      <c r="E22" s="112"/>
      <c r="F22" s="112"/>
      <c r="G22" s="112"/>
      <c r="H22" s="112"/>
      <c r="I22" s="112">
        <f>SUM(J11:J20)-J21</f>
        <v>0</v>
      </c>
      <c r="J22" s="112">
        <f>SUM(K11:K20)-K21</f>
        <v>0</v>
      </c>
      <c r="K22" s="112">
        <f>SUM(L11:L20)-L21</f>
        <v>0</v>
      </c>
    </row>
    <row r="23" spans="2:25" ht="15" hidden="1" customHeight="1" thickBot="1" x14ac:dyDescent="0.3">
      <c r="E23" s="112"/>
      <c r="F23" s="112"/>
      <c r="G23" s="112"/>
      <c r="I23" s="112">
        <f t="shared" ref="I23:Y23" si="0">SUM(I11:I20)-I21</f>
        <v>0</v>
      </c>
      <c r="J23" s="112">
        <f t="shared" si="0"/>
        <v>0</v>
      </c>
      <c r="K23" s="112">
        <f t="shared" si="0"/>
        <v>0</v>
      </c>
      <c r="L23" s="112">
        <f t="shared" si="0"/>
        <v>0</v>
      </c>
      <c r="M23" s="112">
        <f t="shared" si="0"/>
        <v>0</v>
      </c>
      <c r="N23" s="112">
        <f t="shared" si="0"/>
        <v>0</v>
      </c>
      <c r="O23" s="112">
        <f t="shared" si="0"/>
        <v>0</v>
      </c>
      <c r="P23" s="112">
        <f t="shared" si="0"/>
        <v>0</v>
      </c>
      <c r="Q23" s="112">
        <f t="shared" si="0"/>
        <v>0</v>
      </c>
      <c r="R23" s="112">
        <f t="shared" si="0"/>
        <v>0</v>
      </c>
      <c r="S23" s="112">
        <f t="shared" si="0"/>
        <v>0</v>
      </c>
      <c r="T23" s="112">
        <f t="shared" si="0"/>
        <v>0</v>
      </c>
      <c r="U23" s="112">
        <f t="shared" si="0"/>
        <v>0</v>
      </c>
      <c r="V23" s="112">
        <f t="shared" si="0"/>
        <v>0</v>
      </c>
      <c r="W23" s="112">
        <f t="shared" si="0"/>
        <v>0</v>
      </c>
      <c r="X23" s="112">
        <f t="shared" si="0"/>
        <v>0</v>
      </c>
      <c r="Y23" s="112">
        <f t="shared" si="0"/>
        <v>0</v>
      </c>
    </row>
    <row r="24" spans="2:25" ht="15" hidden="1" customHeight="1" x14ac:dyDescent="0.25">
      <c r="E24" s="112"/>
      <c r="F24" s="112"/>
      <c r="G24" s="112"/>
      <c r="I24" s="112">
        <f>I21-'Custos e Despesas'!I12</f>
        <v>0</v>
      </c>
      <c r="J24" s="112">
        <f>J21-'Custos e Despesas'!J12</f>
        <v>0</v>
      </c>
      <c r="K24" s="112">
        <f>K21-'Custos e Despesas'!K12</f>
        <v>0</v>
      </c>
      <c r="L24" s="112">
        <f>L21-'Custos e Despesas'!L12</f>
        <v>0</v>
      </c>
      <c r="M24" s="112">
        <f>M21-'Custos e Despesas'!M12</f>
        <v>0</v>
      </c>
      <c r="N24" s="112">
        <f>N21-'Custos e Despesas'!N12</f>
        <v>0</v>
      </c>
      <c r="O24" s="112">
        <f>O21-'Custos e Despesas'!O12</f>
        <v>0</v>
      </c>
      <c r="P24" s="112">
        <f>P21-'Custos e Despesas'!P12</f>
        <v>0</v>
      </c>
      <c r="Q24" s="112">
        <f>Q21-'Custos e Despesas'!Q12</f>
        <v>0</v>
      </c>
      <c r="R24" s="112">
        <f>R21-'Custos e Despesas'!R12</f>
        <v>0</v>
      </c>
      <c r="S24" s="112">
        <f>S21-'Custos e Despesas'!S12</f>
        <v>0</v>
      </c>
      <c r="T24" s="112">
        <f>T21-'Custos e Despesas'!T12</f>
        <v>0</v>
      </c>
      <c r="U24" s="112">
        <f>U21-'Custos e Despesas'!U12</f>
        <v>0</v>
      </c>
      <c r="V24" s="112">
        <f>V21-'Custos e Despesas'!V12</f>
        <v>0</v>
      </c>
      <c r="W24" s="112">
        <f>W21-'Custos e Despesas'!W12</f>
        <v>0</v>
      </c>
      <c r="X24" s="112">
        <f>X21-'Custos e Despesas'!X12</f>
        <v>0</v>
      </c>
      <c r="Y24" s="112">
        <f>Y21-'Custos e Despesas'!Y12</f>
        <v>0</v>
      </c>
    </row>
    <row r="25" spans="2:25" x14ac:dyDescent="0.25">
      <c r="E25" s="33"/>
      <c r="F25" s="33"/>
      <c r="G25" s="33"/>
      <c r="H25" s="33"/>
      <c r="I25" s="33"/>
    </row>
    <row r="26" spans="2:25" x14ac:dyDescent="0.25">
      <c r="E26" s="23"/>
      <c r="F26" s="23"/>
      <c r="G26" s="23"/>
      <c r="H26" s="23"/>
      <c r="I26" s="23"/>
    </row>
    <row r="27" spans="2:25" x14ac:dyDescent="0.25">
      <c r="E27" s="23"/>
      <c r="F27" s="23"/>
      <c r="G27" s="23"/>
      <c r="H27" s="23"/>
      <c r="I27" s="23"/>
    </row>
    <row r="28" spans="2:25" x14ac:dyDescent="0.25">
      <c r="E28" s="23"/>
      <c r="F28" s="23"/>
      <c r="G28" s="23"/>
      <c r="H28" s="23"/>
      <c r="I28" s="23"/>
    </row>
    <row r="29" spans="2:25" x14ac:dyDescent="0.25">
      <c r="E29" s="23"/>
      <c r="F29" s="23"/>
      <c r="G29" s="23"/>
      <c r="H29" s="23"/>
      <c r="I29" s="23"/>
    </row>
    <row r="30" spans="2:25" x14ac:dyDescent="0.25">
      <c r="E30" s="23"/>
      <c r="F30" s="23"/>
      <c r="G30" s="23"/>
      <c r="H30" s="23"/>
      <c r="I30" s="23"/>
    </row>
    <row r="31" spans="2:25" x14ac:dyDescent="0.25">
      <c r="E31" s="23"/>
      <c r="F31" s="23"/>
      <c r="G31" s="23"/>
      <c r="H31" s="23"/>
      <c r="I31" s="23"/>
    </row>
    <row r="32" spans="2:25" x14ac:dyDescent="0.25">
      <c r="E32" s="23"/>
      <c r="F32" s="23"/>
      <c r="G32" s="23"/>
      <c r="H32" s="23"/>
      <c r="I32" s="23"/>
    </row>
    <row r="33" spans="5:9" x14ac:dyDescent="0.25">
      <c r="E33" s="23"/>
      <c r="F33" s="23"/>
      <c r="G33" s="23"/>
      <c r="H33" s="23"/>
      <c r="I33" s="23"/>
    </row>
    <row r="34" spans="5:9" x14ac:dyDescent="0.25">
      <c r="E34" s="23"/>
      <c r="F34" s="23"/>
      <c r="G34" s="23"/>
      <c r="H34" s="23"/>
      <c r="I34" s="23"/>
    </row>
    <row r="35" spans="5:9" x14ac:dyDescent="0.25">
      <c r="E35" s="23"/>
      <c r="F35" s="23"/>
      <c r="G35" s="23"/>
      <c r="H35" s="23"/>
      <c r="I35" s="23"/>
    </row>
    <row r="36" spans="5:9" x14ac:dyDescent="0.25">
      <c r="E36" s="23"/>
      <c r="F36" s="23"/>
      <c r="G36" s="23"/>
      <c r="H36" s="23"/>
      <c r="I36" s="23"/>
    </row>
    <row r="37" spans="5:9" x14ac:dyDescent="0.25">
      <c r="E37" s="23"/>
      <c r="F37" s="23"/>
      <c r="G37" s="23"/>
      <c r="H37" s="23"/>
      <c r="I37" s="23"/>
    </row>
    <row r="38" spans="5:9" x14ac:dyDescent="0.25">
      <c r="E38" s="23"/>
      <c r="F38" s="23"/>
      <c r="G38" s="23"/>
      <c r="H38" s="23"/>
      <c r="I38" s="23"/>
    </row>
  </sheetData>
  <mergeCells count="3">
    <mergeCell ref="B9:B10"/>
    <mergeCell ref="C9:D9"/>
    <mergeCell ref="F9:Y9"/>
  </mergeCells>
  <conditionalFormatting sqref="B11:B21">
    <cfRule type="expression" dxfId="52" priority="14">
      <formula>MOD(ROW(),2)=0</formula>
    </cfRule>
  </conditionalFormatting>
  <conditionalFormatting sqref="H21:Y21">
    <cfRule type="expression" dxfId="51" priority="10">
      <formula>MOD(ROW(),2)=0</formula>
    </cfRule>
  </conditionalFormatting>
  <conditionalFormatting sqref="E22:K22 E23:G24">
    <cfRule type="cellIs" dxfId="50" priority="11" operator="notEqual">
      <formula>0</formula>
    </cfRule>
  </conditionalFormatting>
  <conditionalFormatting sqref="I23:Y24">
    <cfRule type="cellIs" dxfId="49" priority="7" operator="notEqual">
      <formula>0</formula>
    </cfRule>
  </conditionalFormatting>
  <conditionalFormatting sqref="C11:C21">
    <cfRule type="expression" dxfId="48" priority="5">
      <formula>MOD(ROW(),2)=0</formula>
    </cfRule>
  </conditionalFormatting>
  <conditionalFormatting sqref="G11:G21">
    <cfRule type="expression" dxfId="47" priority="3">
      <formula>MOD(ROW(),2)=0</formula>
    </cfRule>
  </conditionalFormatting>
  <conditionalFormatting sqref="D21">
    <cfRule type="expression" dxfId="46" priority="2">
      <formula>MOD(ROW(),2)=0</formula>
    </cfRule>
  </conditionalFormatting>
  <conditionalFormatting sqref="F11:F21">
    <cfRule type="expression" dxfId="45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Planilha13"/>
  <dimension ref="B4:AA50"/>
  <sheetViews>
    <sheetView showGridLines="0" showRowColHeaders="0" topLeftCell="A10" zoomScale="70" zoomScaleNormal="70" workbookViewId="0"/>
  </sheetViews>
  <sheetFormatPr defaultColWidth="2.7109375" defaultRowHeight="18.75" x14ac:dyDescent="0.25"/>
  <cols>
    <col min="1" max="1" width="9.85546875" customWidth="1"/>
    <col min="2" max="2" width="61.5703125" bestFit="1" customWidth="1"/>
    <col min="3" max="3" width="15.85546875" customWidth="1"/>
    <col min="4" max="4" width="14.5703125" customWidth="1"/>
    <col min="5" max="5" width="8.7109375" customWidth="1"/>
    <col min="6" max="6" width="9.7109375" style="123" customWidth="1"/>
    <col min="7" max="8" width="9.85546875" customWidth="1"/>
    <col min="9" max="10" width="8.7109375" bestFit="1" customWidth="1"/>
    <col min="11" max="11" width="10.28515625" bestFit="1" customWidth="1"/>
    <col min="12" max="12" width="8.7109375" bestFit="1" customWidth="1"/>
    <col min="13" max="19" width="10.28515625" bestFit="1" customWidth="1"/>
    <col min="20" max="21" width="8.7109375" bestFit="1" customWidth="1"/>
    <col min="22" max="23" width="10.28515625" bestFit="1" customWidth="1"/>
    <col min="24" max="24" width="8.7109375" bestFit="1" customWidth="1"/>
    <col min="25" max="25" width="10.28515625" bestFit="1" customWidth="1"/>
    <col min="26" max="26" width="8.7109375" bestFit="1" customWidth="1"/>
    <col min="27" max="27" width="5.140625" bestFit="1" customWidth="1"/>
  </cols>
  <sheetData>
    <row r="4" spans="2:26" ht="15" customHeight="1" x14ac:dyDescent="0.25">
      <c r="B4" s="122"/>
      <c r="C4" s="122"/>
      <c r="D4" s="122"/>
      <c r="E4" s="122"/>
      <c r="I4" s="123"/>
      <c r="J4" s="123"/>
      <c r="K4" s="123"/>
    </row>
    <row r="5" spans="2:26" ht="15" customHeight="1" x14ac:dyDescent="0.25">
      <c r="B5" s="123"/>
      <c r="C5" s="123"/>
      <c r="D5" s="123"/>
      <c r="E5" s="123"/>
      <c r="I5" s="123"/>
      <c r="J5" s="123"/>
      <c r="K5" s="123"/>
    </row>
    <row r="6" spans="2:26" ht="15" customHeight="1" x14ac:dyDescent="0.25">
      <c r="B6" s="123"/>
      <c r="C6" s="123"/>
      <c r="D6" s="123"/>
      <c r="E6" s="123"/>
      <c r="I6" s="123"/>
      <c r="J6" s="123"/>
      <c r="K6" s="123"/>
    </row>
    <row r="7" spans="2:26" ht="15" customHeight="1" x14ac:dyDescent="0.25">
      <c r="B7" s="123"/>
      <c r="C7" s="123"/>
      <c r="D7" s="123"/>
      <c r="E7" s="123"/>
      <c r="I7" s="123"/>
      <c r="J7" s="123"/>
      <c r="K7" s="123"/>
    </row>
    <row r="8" spans="2:26" ht="21.6" customHeight="1" x14ac:dyDescent="0.25">
      <c r="B8" s="17" t="s">
        <v>130</v>
      </c>
      <c r="C8" s="17"/>
      <c r="D8" s="17"/>
      <c r="E8" s="17"/>
      <c r="I8" s="2"/>
      <c r="J8" s="2"/>
    </row>
    <row r="9" spans="2:26" ht="21.6" customHeight="1" x14ac:dyDescent="0.25">
      <c r="B9" s="388"/>
      <c r="C9" s="378" t="s">
        <v>539</v>
      </c>
      <c r="D9" s="378"/>
      <c r="E9" s="123"/>
      <c r="F9" s="377" t="s">
        <v>131</v>
      </c>
      <c r="G9" s="377"/>
      <c r="H9" s="377"/>
      <c r="I9" s="377"/>
      <c r="J9" s="377"/>
      <c r="K9" s="377"/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</row>
    <row r="10" spans="2:26" ht="21.6" customHeight="1" x14ac:dyDescent="0.25">
      <c r="B10" s="389"/>
      <c r="C10" s="157" t="s">
        <v>563</v>
      </c>
      <c r="D10" s="157" t="s">
        <v>134</v>
      </c>
      <c r="E10" s="123"/>
      <c r="F10" s="157" t="s">
        <v>548</v>
      </c>
      <c r="G10" s="157" t="s">
        <v>540</v>
      </c>
      <c r="H10" s="157" t="s">
        <v>133</v>
      </c>
      <c r="I10" s="69" t="s">
        <v>134</v>
      </c>
      <c r="J10" s="69" t="s">
        <v>135</v>
      </c>
      <c r="K10" s="69">
        <v>2022</v>
      </c>
      <c r="L10" s="69" t="s">
        <v>136</v>
      </c>
      <c r="M10" s="69" t="s">
        <v>137</v>
      </c>
      <c r="N10" s="69" t="s">
        <v>138</v>
      </c>
      <c r="O10" s="69">
        <v>2021</v>
      </c>
      <c r="P10" s="69" t="s">
        <v>139</v>
      </c>
      <c r="Q10" s="69" t="s">
        <v>140</v>
      </c>
      <c r="R10" s="69" t="s">
        <v>141</v>
      </c>
      <c r="S10" s="69">
        <v>2020</v>
      </c>
      <c r="T10" s="69" t="s">
        <v>142</v>
      </c>
      <c r="U10" s="69" t="s">
        <v>143</v>
      </c>
      <c r="V10" s="69" t="s">
        <v>144</v>
      </c>
      <c r="W10" s="69">
        <v>2019</v>
      </c>
      <c r="X10" s="69" t="s">
        <v>145</v>
      </c>
      <c r="Y10" s="69" t="s">
        <v>146</v>
      </c>
      <c r="Z10" s="69" t="s">
        <v>147</v>
      </c>
    </row>
    <row r="11" spans="2:26" ht="20.45" customHeight="1" x14ac:dyDescent="0.25">
      <c r="B11" s="27" t="s">
        <v>228</v>
      </c>
      <c r="C11" s="133"/>
      <c r="D11" s="133"/>
      <c r="E11" s="123"/>
      <c r="F11" s="133"/>
      <c r="G11" s="133"/>
      <c r="H11" s="133"/>
      <c r="I11" s="133" t="s">
        <v>229</v>
      </c>
      <c r="J11" s="133"/>
      <c r="K11" s="133"/>
      <c r="L11" s="133"/>
      <c r="M11" s="133" t="s">
        <v>229</v>
      </c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</row>
    <row r="12" spans="2:26" ht="20.45" customHeight="1" x14ac:dyDescent="0.25">
      <c r="B12" s="40" t="s">
        <v>230</v>
      </c>
      <c r="C12" s="134">
        <v>117043</v>
      </c>
      <c r="D12" s="134">
        <v>105994</v>
      </c>
      <c r="E12" s="123"/>
      <c r="F12" s="134">
        <v>64768</v>
      </c>
      <c r="G12" s="134">
        <v>127597</v>
      </c>
      <c r="H12" s="134">
        <v>120648</v>
      </c>
      <c r="I12" s="134">
        <v>105994</v>
      </c>
      <c r="J12" s="134">
        <v>97983</v>
      </c>
      <c r="K12" s="134">
        <v>468419</v>
      </c>
      <c r="L12" s="134">
        <v>144443</v>
      </c>
      <c r="M12" s="134">
        <v>97495</v>
      </c>
      <c r="N12" s="134">
        <v>73658</v>
      </c>
      <c r="O12" s="134">
        <v>241554</v>
      </c>
      <c r="P12" s="134">
        <v>69250</v>
      </c>
      <c r="Q12" s="134">
        <v>61208</v>
      </c>
      <c r="R12" s="134">
        <v>31613</v>
      </c>
      <c r="S12" s="134">
        <v>95246</v>
      </c>
      <c r="T12" s="134">
        <v>22401</v>
      </c>
      <c r="U12" s="134">
        <v>21424</v>
      </c>
      <c r="V12" s="134">
        <v>18166</v>
      </c>
      <c r="W12" s="134">
        <v>102440</v>
      </c>
      <c r="X12" s="134">
        <v>31564</v>
      </c>
      <c r="Y12" s="134">
        <v>25836</v>
      </c>
      <c r="Z12" s="134">
        <v>25032</v>
      </c>
    </row>
    <row r="13" spans="2:26" ht="20.45" customHeight="1" x14ac:dyDescent="0.25">
      <c r="B13" s="40" t="s">
        <v>231</v>
      </c>
      <c r="C13" s="134">
        <v>73661</v>
      </c>
      <c r="D13" s="134">
        <v>80027</v>
      </c>
      <c r="E13" s="123"/>
      <c r="F13" s="134">
        <v>75427</v>
      </c>
      <c r="G13" s="134">
        <v>70504</v>
      </c>
      <c r="H13" s="134">
        <v>66818</v>
      </c>
      <c r="I13" s="134">
        <v>80027</v>
      </c>
      <c r="J13" s="134">
        <v>68504</v>
      </c>
      <c r="K13" s="134">
        <v>337353</v>
      </c>
      <c r="L13" s="134">
        <v>74121</v>
      </c>
      <c r="M13" s="134">
        <v>102853</v>
      </c>
      <c r="N13" s="134">
        <v>95375</v>
      </c>
      <c r="O13" s="134">
        <v>460480</v>
      </c>
      <c r="P13" s="134">
        <v>112579</v>
      </c>
      <c r="Q13" s="134">
        <v>123038</v>
      </c>
      <c r="R13" s="134">
        <v>114784</v>
      </c>
      <c r="S13" s="134">
        <v>398940</v>
      </c>
      <c r="T13" s="134">
        <v>105745</v>
      </c>
      <c r="U13" s="134">
        <v>84751</v>
      </c>
      <c r="V13" s="134">
        <v>92072</v>
      </c>
      <c r="W13" s="134">
        <v>361044</v>
      </c>
      <c r="X13" s="134">
        <v>90146</v>
      </c>
      <c r="Y13" s="134">
        <v>95933</v>
      </c>
      <c r="Z13" s="134">
        <v>86518</v>
      </c>
    </row>
    <row r="14" spans="2:26" ht="20.45" customHeight="1" x14ac:dyDescent="0.25">
      <c r="B14" s="299" t="s">
        <v>232</v>
      </c>
      <c r="C14" s="134" t="s">
        <v>5</v>
      </c>
      <c r="D14" s="134">
        <v>11222</v>
      </c>
      <c r="E14" s="123"/>
      <c r="F14" s="134" t="s">
        <v>5</v>
      </c>
      <c r="G14" s="134">
        <v>-3924</v>
      </c>
      <c r="H14" s="134" t="s">
        <v>5</v>
      </c>
      <c r="I14" s="134">
        <v>11222</v>
      </c>
      <c r="J14" s="134">
        <v>1889</v>
      </c>
      <c r="K14" s="134">
        <v>16722</v>
      </c>
      <c r="L14" s="134">
        <v>15509</v>
      </c>
      <c r="M14" s="134">
        <v>8248</v>
      </c>
      <c r="N14" s="134">
        <v>23965</v>
      </c>
      <c r="O14" s="134"/>
      <c r="P14" s="134" t="s">
        <v>5</v>
      </c>
      <c r="Q14" s="134">
        <v>24254</v>
      </c>
      <c r="R14" s="134" t="s">
        <v>5</v>
      </c>
      <c r="S14" s="134"/>
      <c r="T14" s="134" t="s">
        <v>5</v>
      </c>
      <c r="U14" s="134" t="s">
        <v>5</v>
      </c>
      <c r="V14" s="134" t="s">
        <v>5</v>
      </c>
      <c r="W14" s="134"/>
      <c r="X14" s="134" t="s">
        <v>5</v>
      </c>
      <c r="Y14" s="134" t="s">
        <v>5</v>
      </c>
      <c r="Z14" s="134" t="s">
        <v>5</v>
      </c>
    </row>
    <row r="15" spans="2:26" ht="20.45" customHeight="1" x14ac:dyDescent="0.25">
      <c r="B15" s="299" t="s">
        <v>233</v>
      </c>
      <c r="C15" s="134" t="s">
        <v>5</v>
      </c>
      <c r="D15" s="134">
        <v>197496</v>
      </c>
      <c r="E15" s="123"/>
      <c r="F15" s="134" t="s">
        <v>5</v>
      </c>
      <c r="G15" s="134">
        <v>117828</v>
      </c>
      <c r="H15" s="134" t="s">
        <v>5</v>
      </c>
      <c r="I15" s="134">
        <v>197496</v>
      </c>
      <c r="J15" s="134">
        <v>103814</v>
      </c>
      <c r="K15" s="134">
        <v>338265</v>
      </c>
      <c r="L15" s="134">
        <v>10247</v>
      </c>
      <c r="M15" s="134" t="s">
        <v>5</v>
      </c>
      <c r="N15" s="134">
        <v>842700</v>
      </c>
      <c r="O15" s="134"/>
      <c r="P15" s="134" t="s">
        <v>5</v>
      </c>
      <c r="Q15" s="134">
        <v>1044160</v>
      </c>
      <c r="R15" s="134" t="s">
        <v>5</v>
      </c>
      <c r="S15" s="134"/>
      <c r="T15" s="134" t="s">
        <v>5</v>
      </c>
      <c r="U15" s="134" t="s">
        <v>5</v>
      </c>
      <c r="V15" s="134" t="s">
        <v>5</v>
      </c>
      <c r="W15" s="134"/>
      <c r="X15" s="134">
        <v>-70470</v>
      </c>
      <c r="Y15" s="134">
        <v>70470</v>
      </c>
      <c r="Z15" s="134" t="s">
        <v>5</v>
      </c>
    </row>
    <row r="16" spans="2:26" ht="20.45" customHeight="1" x14ac:dyDescent="0.25">
      <c r="B16" s="40" t="s">
        <v>234</v>
      </c>
      <c r="C16" s="134">
        <v>8101</v>
      </c>
      <c r="D16" s="134">
        <v>48074</v>
      </c>
      <c r="E16" s="123"/>
      <c r="F16" s="134">
        <v>38801</v>
      </c>
      <c r="G16" s="134">
        <v>63268</v>
      </c>
      <c r="H16" s="134">
        <v>41771</v>
      </c>
      <c r="I16" s="134">
        <v>48074</v>
      </c>
      <c r="J16" s="134">
        <v>9453</v>
      </c>
      <c r="K16" s="134">
        <v>108397</v>
      </c>
      <c r="L16" s="134">
        <v>23661</v>
      </c>
      <c r="M16" s="134">
        <v>27125</v>
      </c>
      <c r="N16" s="134">
        <v>17215</v>
      </c>
      <c r="O16" s="134">
        <v>67828</v>
      </c>
      <c r="P16" s="134">
        <v>44894</v>
      </c>
      <c r="Q16" s="134">
        <v>7394</v>
      </c>
      <c r="R16" s="134">
        <v>6693</v>
      </c>
      <c r="S16" s="134">
        <v>42323</v>
      </c>
      <c r="T16" s="134">
        <v>5949</v>
      </c>
      <c r="U16" s="134">
        <v>5079</v>
      </c>
      <c r="V16" s="134">
        <v>3650</v>
      </c>
      <c r="W16" s="134">
        <v>29623</v>
      </c>
      <c r="X16" s="134">
        <v>6825</v>
      </c>
      <c r="Y16" s="134">
        <v>7888</v>
      </c>
      <c r="Z16" s="134">
        <v>4985</v>
      </c>
    </row>
    <row r="17" spans="2:26" ht="20.45" customHeight="1" x14ac:dyDescent="0.25">
      <c r="B17" s="40" t="s">
        <v>235</v>
      </c>
      <c r="C17" s="134" t="s">
        <v>5</v>
      </c>
      <c r="D17" s="134">
        <v>65468</v>
      </c>
      <c r="E17" s="123"/>
      <c r="F17" s="134">
        <v>1792</v>
      </c>
      <c r="G17" s="134">
        <v>-5036</v>
      </c>
      <c r="H17" s="134" t="s">
        <v>5</v>
      </c>
      <c r="I17" s="134">
        <v>65468</v>
      </c>
      <c r="J17" s="134">
        <v>26610</v>
      </c>
      <c r="K17" s="134">
        <v>185120</v>
      </c>
      <c r="L17" s="134">
        <v>38210</v>
      </c>
      <c r="M17" s="134">
        <v>59217</v>
      </c>
      <c r="N17" s="134">
        <v>51999</v>
      </c>
      <c r="O17" s="134">
        <v>63907</v>
      </c>
      <c r="P17" s="134">
        <v>21325</v>
      </c>
      <c r="Q17" s="134">
        <v>6927</v>
      </c>
      <c r="R17" s="134" t="s">
        <v>5</v>
      </c>
      <c r="S17" s="134">
        <v>31949</v>
      </c>
      <c r="T17" s="134">
        <v>5593</v>
      </c>
      <c r="U17" s="134">
        <v>14045</v>
      </c>
      <c r="V17" s="134">
        <v>11643</v>
      </c>
      <c r="W17" s="134">
        <v>105402</v>
      </c>
      <c r="X17" s="134">
        <v>31825</v>
      </c>
      <c r="Y17" s="134">
        <v>32140</v>
      </c>
      <c r="Z17" s="134">
        <v>20906</v>
      </c>
    </row>
    <row r="18" spans="2:26" ht="20.45" customHeight="1" x14ac:dyDescent="0.25">
      <c r="B18" s="40" t="s">
        <v>237</v>
      </c>
      <c r="C18" s="134">
        <v>70018</v>
      </c>
      <c r="D18" s="134" t="s">
        <v>5</v>
      </c>
      <c r="E18" s="123"/>
      <c r="F18" s="134">
        <v>42032</v>
      </c>
      <c r="G18" s="134">
        <v>0</v>
      </c>
      <c r="H18" s="134">
        <v>102428</v>
      </c>
      <c r="I18" s="134" t="s">
        <v>5</v>
      </c>
      <c r="J18" s="134" t="s">
        <v>5</v>
      </c>
      <c r="K18" s="134"/>
      <c r="L18" s="134">
        <v>100087</v>
      </c>
      <c r="M18" s="134">
        <v>54620</v>
      </c>
      <c r="N18" s="134" t="s">
        <v>5</v>
      </c>
      <c r="O18" s="134"/>
      <c r="P18" s="134">
        <v>35636</v>
      </c>
      <c r="Q18" s="134" t="s">
        <v>5</v>
      </c>
      <c r="R18" s="134" t="s">
        <v>5</v>
      </c>
      <c r="S18" s="134">
        <v>1752688</v>
      </c>
      <c r="T18" s="134">
        <v>2651</v>
      </c>
      <c r="U18" s="134">
        <v>486720</v>
      </c>
      <c r="V18" s="134">
        <v>1314240</v>
      </c>
      <c r="W18" s="134">
        <v>997858</v>
      </c>
      <c r="X18" s="134">
        <v>485836</v>
      </c>
      <c r="Y18" s="134">
        <v>461083</v>
      </c>
      <c r="Z18" s="134">
        <v>152311</v>
      </c>
    </row>
    <row r="19" spans="2:26" ht="20.45" customHeight="1" x14ac:dyDescent="0.25">
      <c r="B19" s="40" t="s">
        <v>236</v>
      </c>
      <c r="C19" s="134">
        <v>15307</v>
      </c>
      <c r="D19" s="134">
        <v>22382</v>
      </c>
      <c r="E19" s="123"/>
      <c r="F19" s="134">
        <v>18010</v>
      </c>
      <c r="G19" s="134">
        <v>20537</v>
      </c>
      <c r="H19" s="134">
        <v>23389</v>
      </c>
      <c r="I19" s="134">
        <v>22382</v>
      </c>
      <c r="J19" s="134">
        <v>15394</v>
      </c>
      <c r="K19" s="134">
        <v>82310</v>
      </c>
      <c r="L19" s="134">
        <v>22767</v>
      </c>
      <c r="M19" s="134">
        <v>18908</v>
      </c>
      <c r="N19" s="134">
        <v>14885</v>
      </c>
      <c r="O19" s="134">
        <v>29018</v>
      </c>
      <c r="P19" s="134">
        <v>8190</v>
      </c>
      <c r="Q19" s="134">
        <v>4437</v>
      </c>
      <c r="R19" s="134">
        <v>2507</v>
      </c>
      <c r="S19" s="134">
        <v>52824</v>
      </c>
      <c r="T19" s="134">
        <v>270</v>
      </c>
      <c r="U19" s="134">
        <v>37682</v>
      </c>
      <c r="V19" s="134">
        <v>16360</v>
      </c>
      <c r="W19" s="134">
        <v>49702</v>
      </c>
      <c r="X19" s="134">
        <v>12966</v>
      </c>
      <c r="Y19" s="134">
        <v>13219</v>
      </c>
      <c r="Z19" s="134">
        <v>6687</v>
      </c>
    </row>
    <row r="20" spans="2:26" ht="20.45" customHeight="1" x14ac:dyDescent="0.25">
      <c r="B20" s="40" t="s">
        <v>238</v>
      </c>
      <c r="C20" s="134">
        <v>-48924</v>
      </c>
      <c r="D20" s="134">
        <v>-48675</v>
      </c>
      <c r="E20" s="123"/>
      <c r="F20" s="134">
        <v>-41135</v>
      </c>
      <c r="G20" s="134">
        <v>-55724</v>
      </c>
      <c r="H20" s="134">
        <v>-49323</v>
      </c>
      <c r="I20" s="134">
        <v>-48675</v>
      </c>
      <c r="J20" s="134">
        <v>-43188</v>
      </c>
      <c r="K20" s="134">
        <v>-116921</v>
      </c>
      <c r="L20" s="134">
        <v>-37052</v>
      </c>
      <c r="M20" s="134">
        <v>-23144</v>
      </c>
      <c r="N20" s="134">
        <v>-24426</v>
      </c>
      <c r="O20" s="134">
        <v>-123981</v>
      </c>
      <c r="P20" s="134">
        <v>-27669</v>
      </c>
      <c r="Q20" s="134">
        <v>-33465</v>
      </c>
      <c r="R20" s="134">
        <v>-15838</v>
      </c>
      <c r="S20" s="134">
        <v>-96464</v>
      </c>
      <c r="T20" s="134">
        <v>-22474</v>
      </c>
      <c r="U20" s="134">
        <v>-7018</v>
      </c>
      <c r="V20" s="134">
        <v>-8794</v>
      </c>
      <c r="W20" s="134">
        <v>-128033</v>
      </c>
      <c r="X20" s="134">
        <v>-13044</v>
      </c>
      <c r="Y20" s="134">
        <v>-41487</v>
      </c>
      <c r="Z20" s="134">
        <v>-9265</v>
      </c>
    </row>
    <row r="21" spans="2:26" ht="20.45" customHeight="1" x14ac:dyDescent="0.25">
      <c r="B21" s="40" t="s">
        <v>239</v>
      </c>
      <c r="C21" s="134">
        <v>1278</v>
      </c>
      <c r="D21" s="134">
        <v>483</v>
      </c>
      <c r="E21" s="123"/>
      <c r="F21" s="134">
        <v>1178</v>
      </c>
      <c r="G21" s="134">
        <v>1626</v>
      </c>
      <c r="H21" s="134">
        <v>1348</v>
      </c>
      <c r="I21" s="134">
        <v>483</v>
      </c>
      <c r="J21" s="134">
        <v>1029</v>
      </c>
      <c r="K21" s="134">
        <v>4729</v>
      </c>
      <c r="L21" s="134">
        <v>1612</v>
      </c>
      <c r="M21" s="134">
        <v>980</v>
      </c>
      <c r="N21" s="134">
        <v>469</v>
      </c>
      <c r="O21" s="134"/>
      <c r="P21" s="134" t="s">
        <v>5</v>
      </c>
      <c r="Q21" s="134" t="s">
        <v>5</v>
      </c>
      <c r="R21" s="134" t="s">
        <v>5</v>
      </c>
      <c r="S21" s="134"/>
      <c r="T21" s="134" t="s">
        <v>5</v>
      </c>
      <c r="U21" s="134" t="s">
        <v>5</v>
      </c>
      <c r="V21" s="134" t="s">
        <v>5</v>
      </c>
      <c r="W21" s="134"/>
      <c r="X21" s="134" t="s">
        <v>5</v>
      </c>
      <c r="Y21" s="134" t="s">
        <v>5</v>
      </c>
      <c r="Z21" s="134" t="s">
        <v>5</v>
      </c>
    </row>
    <row r="22" spans="2:26" ht="20.45" customHeight="1" x14ac:dyDescent="0.25">
      <c r="B22" s="40" t="s">
        <v>240</v>
      </c>
      <c r="C22" s="134" t="s">
        <v>5</v>
      </c>
      <c r="D22" s="134" t="s">
        <v>5</v>
      </c>
      <c r="E22" s="123"/>
      <c r="F22" s="134" t="s">
        <v>5</v>
      </c>
      <c r="G22" s="134">
        <v>0</v>
      </c>
      <c r="H22" s="134"/>
      <c r="I22" s="134" t="s">
        <v>5</v>
      </c>
      <c r="J22" s="134" t="s">
        <v>5</v>
      </c>
      <c r="K22" s="134"/>
      <c r="L22" s="134" t="s">
        <v>5</v>
      </c>
      <c r="M22" s="134" t="s">
        <v>5</v>
      </c>
      <c r="N22" s="134" t="s">
        <v>5</v>
      </c>
      <c r="O22" s="134">
        <v>1752</v>
      </c>
      <c r="P22" s="134">
        <v>1752</v>
      </c>
      <c r="Q22" s="134" t="s">
        <v>5</v>
      </c>
      <c r="R22" s="134" t="s">
        <v>5</v>
      </c>
      <c r="S22" s="134">
        <v>30300</v>
      </c>
      <c r="T22" s="134">
        <v>16751</v>
      </c>
      <c r="U22" s="134" t="s">
        <v>5</v>
      </c>
      <c r="V22" s="134" t="s">
        <v>5</v>
      </c>
      <c r="W22" s="134">
        <v>47654</v>
      </c>
      <c r="X22" s="134">
        <v>1617</v>
      </c>
      <c r="Y22" s="134">
        <v>23315</v>
      </c>
      <c r="Z22" s="134">
        <v>22664</v>
      </c>
    </row>
    <row r="23" spans="2:26" ht="20.45" customHeight="1" x14ac:dyDescent="0.25">
      <c r="B23" s="40" t="s">
        <v>241</v>
      </c>
      <c r="C23" s="134">
        <v>406414</v>
      </c>
      <c r="D23" s="134" t="s">
        <v>5</v>
      </c>
      <c r="E23" s="123"/>
      <c r="F23" s="134" t="s">
        <v>5</v>
      </c>
      <c r="G23" s="134">
        <v>0</v>
      </c>
      <c r="H23" s="134" t="s">
        <v>5</v>
      </c>
      <c r="I23" s="134" t="s">
        <v>5</v>
      </c>
      <c r="J23" s="134">
        <v>25548</v>
      </c>
      <c r="K23" s="134"/>
      <c r="L23" s="134" t="s">
        <v>5</v>
      </c>
      <c r="M23" s="134" t="s">
        <v>5</v>
      </c>
      <c r="N23" s="134">
        <v>-375</v>
      </c>
      <c r="O23" s="134">
        <v>19837</v>
      </c>
      <c r="P23" s="134">
        <v>427</v>
      </c>
      <c r="Q23" s="134">
        <v>24911</v>
      </c>
      <c r="R23" s="134" t="s">
        <v>5</v>
      </c>
      <c r="S23" s="134">
        <v>41694</v>
      </c>
      <c r="T23" s="134">
        <v>7196</v>
      </c>
      <c r="U23" s="134">
        <v>12243</v>
      </c>
      <c r="V23" s="134">
        <v>14849</v>
      </c>
      <c r="W23" s="134">
        <v>1580463</v>
      </c>
      <c r="X23" s="134">
        <v>22169</v>
      </c>
      <c r="Y23" s="134">
        <v>1553112</v>
      </c>
      <c r="Z23" s="134" t="s">
        <v>5</v>
      </c>
    </row>
    <row r="24" spans="2:26" ht="20.45" customHeight="1" x14ac:dyDescent="0.25">
      <c r="B24" s="40" t="s">
        <v>564</v>
      </c>
      <c r="C24" s="134">
        <v>50191</v>
      </c>
      <c r="D24" s="134" t="s">
        <v>5</v>
      </c>
      <c r="E24" s="123"/>
      <c r="F24" s="134"/>
      <c r="G24" s="134"/>
      <c r="H24" s="134"/>
      <c r="I24" s="134"/>
      <c r="J24" s="134"/>
      <c r="K24" s="134"/>
      <c r="L24" s="134"/>
      <c r="M24" s="134"/>
      <c r="N24" s="134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2:26" ht="20.45" customHeight="1" x14ac:dyDescent="0.25">
      <c r="B25" s="25" t="s">
        <v>242</v>
      </c>
      <c r="C25" s="135">
        <v>32385</v>
      </c>
      <c r="D25" s="135">
        <v>29660</v>
      </c>
      <c r="E25" s="123"/>
      <c r="F25" s="135">
        <v>17372</v>
      </c>
      <c r="G25" s="135">
        <v>31675</v>
      </c>
      <c r="H25" s="135">
        <v>38599</v>
      </c>
      <c r="I25" s="135">
        <v>29660</v>
      </c>
      <c r="J25" s="135">
        <v>22748</v>
      </c>
      <c r="K25" s="135">
        <v>75400</v>
      </c>
      <c r="L25" s="135">
        <v>18143</v>
      </c>
      <c r="M25" s="135">
        <v>16629</v>
      </c>
      <c r="N25" s="135">
        <v>13560</v>
      </c>
      <c r="O25" s="135">
        <v>82911</v>
      </c>
      <c r="P25" s="135">
        <v>12443</v>
      </c>
      <c r="Q25" s="135">
        <v>25561</v>
      </c>
      <c r="R25" s="135">
        <v>14656</v>
      </c>
      <c r="S25" s="135">
        <v>95905</v>
      </c>
      <c r="T25" s="135">
        <v>21286</v>
      </c>
      <c r="U25" s="135">
        <v>15152</v>
      </c>
      <c r="V25" s="135">
        <v>20549</v>
      </c>
      <c r="W25" s="135">
        <v>60697</v>
      </c>
      <c r="X25" s="135">
        <v>19541</v>
      </c>
      <c r="Y25" s="135">
        <v>30961</v>
      </c>
      <c r="Z25" s="135">
        <v>40680</v>
      </c>
    </row>
    <row r="26" spans="2:26" ht="20.45" customHeight="1" x14ac:dyDescent="0.25">
      <c r="B26" s="40"/>
      <c r="C26" s="136">
        <v>725474</v>
      </c>
      <c r="D26" s="136">
        <v>512131</v>
      </c>
      <c r="E26" s="123"/>
      <c r="F26" s="136">
        <f>SUM(F12:F25)</f>
        <v>218245</v>
      </c>
      <c r="G26" s="136">
        <v>368351</v>
      </c>
      <c r="H26" s="136">
        <v>345678</v>
      </c>
      <c r="I26" s="136">
        <v>512131</v>
      </c>
      <c r="J26" s="136">
        <v>329784</v>
      </c>
      <c r="K26" s="136">
        <v>1499794</v>
      </c>
      <c r="L26" s="136">
        <v>411748</v>
      </c>
      <c r="M26" s="136">
        <v>362931</v>
      </c>
      <c r="N26" s="136">
        <v>1109025</v>
      </c>
      <c r="O26" s="136">
        <v>843306</v>
      </c>
      <c r="P26" s="136">
        <v>278827</v>
      </c>
      <c r="Q26" s="136">
        <v>1288425</v>
      </c>
      <c r="R26" s="136">
        <v>154415</v>
      </c>
      <c r="S26" s="136">
        <v>2445405</v>
      </c>
      <c r="T26" s="136">
        <v>165368</v>
      </c>
      <c r="U26" s="136">
        <v>670078</v>
      </c>
      <c r="V26" s="136">
        <v>1482735</v>
      </c>
      <c r="W26" s="136">
        <v>3206850</v>
      </c>
      <c r="X26" s="136">
        <v>618975</v>
      </c>
      <c r="Y26" s="136">
        <v>2272470</v>
      </c>
      <c r="Z26" s="136">
        <v>350518</v>
      </c>
    </row>
    <row r="27" spans="2:26" ht="20.45" customHeight="1" x14ac:dyDescent="0.25">
      <c r="B27" s="41" t="s">
        <v>243</v>
      </c>
      <c r="C27" s="134"/>
      <c r="D27" s="134"/>
      <c r="E27" s="123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2:26" ht="20.45" customHeight="1" x14ac:dyDescent="0.25">
      <c r="B28" s="40" t="s">
        <v>244</v>
      </c>
      <c r="C28" s="134">
        <v>-240729</v>
      </c>
      <c r="D28" s="134">
        <v>-233372</v>
      </c>
      <c r="E28" s="123"/>
      <c r="F28" s="134">
        <v>-218669</v>
      </c>
      <c r="G28" s="134">
        <v>-257567</v>
      </c>
      <c r="H28" s="134">
        <v>-279597</v>
      </c>
      <c r="I28" s="134">
        <v>-233372</v>
      </c>
      <c r="J28" s="134">
        <v>-242347</v>
      </c>
      <c r="K28" s="134">
        <v>-928179</v>
      </c>
      <c r="L28" s="134">
        <v>-233923</v>
      </c>
      <c r="M28" s="134">
        <v>-235945</v>
      </c>
      <c r="N28" s="134">
        <v>-223723</v>
      </c>
      <c r="O28" s="134">
        <v>-1146682</v>
      </c>
      <c r="P28" s="134">
        <v>-294081</v>
      </c>
      <c r="Q28" s="134">
        <v>-263305</v>
      </c>
      <c r="R28" s="134">
        <v>-326027</v>
      </c>
      <c r="S28" s="134">
        <v>-1177769</v>
      </c>
      <c r="T28" s="134">
        <v>-312605</v>
      </c>
      <c r="U28" s="134">
        <v>-271806</v>
      </c>
      <c r="V28" s="134">
        <v>-311300</v>
      </c>
      <c r="W28" s="134">
        <v>-1226897</v>
      </c>
      <c r="X28" s="134">
        <v>-319008</v>
      </c>
      <c r="Y28" s="134">
        <v>-302540</v>
      </c>
      <c r="Z28" s="134">
        <v>-303412</v>
      </c>
    </row>
    <row r="29" spans="2:26" ht="20.45" customHeight="1" x14ac:dyDescent="0.25">
      <c r="B29" s="40" t="s">
        <v>245</v>
      </c>
      <c r="C29" s="134">
        <v>-4603</v>
      </c>
      <c r="D29" s="134">
        <v>-2656</v>
      </c>
      <c r="E29" s="123"/>
      <c r="F29" s="134">
        <v>-3789</v>
      </c>
      <c r="G29" s="134">
        <v>-4253</v>
      </c>
      <c r="H29" s="134">
        <v>-3457</v>
      </c>
      <c r="I29" s="134">
        <v>-2656</v>
      </c>
      <c r="J29" s="134">
        <v>-3542</v>
      </c>
      <c r="K29" s="134">
        <v>-7422</v>
      </c>
      <c r="L29" s="134">
        <v>-2088</v>
      </c>
      <c r="M29" s="134">
        <v>-1610</v>
      </c>
      <c r="N29" s="134">
        <v>-1600</v>
      </c>
      <c r="O29" s="134">
        <v>-20456</v>
      </c>
      <c r="P29" s="134">
        <v>-6264</v>
      </c>
      <c r="Q29" s="134">
        <v>-8469</v>
      </c>
      <c r="R29" s="134">
        <v>-4137</v>
      </c>
      <c r="S29" s="134">
        <v>-15107</v>
      </c>
      <c r="T29" s="134">
        <v>-3809</v>
      </c>
      <c r="U29" s="134">
        <v>-3556</v>
      </c>
      <c r="V29" s="134">
        <v>-3545</v>
      </c>
      <c r="W29" s="134">
        <v>-37616</v>
      </c>
      <c r="X29" s="134">
        <v>-20154</v>
      </c>
      <c r="Y29" s="134">
        <v>-7015</v>
      </c>
      <c r="Z29" s="134">
        <v>-6933</v>
      </c>
    </row>
    <row r="30" spans="2:26" ht="20.45" customHeight="1" x14ac:dyDescent="0.25">
      <c r="B30" s="40" t="s">
        <v>246</v>
      </c>
      <c r="C30" s="134">
        <v>-214451</v>
      </c>
      <c r="D30" s="134" t="s">
        <v>5</v>
      </c>
      <c r="E30" s="123"/>
      <c r="F30" s="134">
        <v>-59034</v>
      </c>
      <c r="G30" s="134">
        <v>0</v>
      </c>
      <c r="H30" s="134">
        <v>-142451</v>
      </c>
      <c r="I30" s="134" t="s">
        <v>5</v>
      </c>
      <c r="J30" s="134" t="s">
        <v>5</v>
      </c>
      <c r="K30" s="134"/>
      <c r="L30" s="134">
        <v>-168600</v>
      </c>
      <c r="M30" s="134">
        <v>-500200</v>
      </c>
      <c r="N30" s="134" t="s">
        <v>5</v>
      </c>
      <c r="O30" s="134">
        <v>-353321</v>
      </c>
      <c r="P30" s="134">
        <v>-504600</v>
      </c>
      <c r="Q30" s="134" t="s">
        <v>5</v>
      </c>
      <c r="R30" s="134">
        <v>-751781</v>
      </c>
      <c r="S30" s="134">
        <v>-1742494</v>
      </c>
      <c r="T30" s="134">
        <v>-247294</v>
      </c>
      <c r="U30" s="134">
        <v>-405828</v>
      </c>
      <c r="V30" s="134">
        <v>-1756536</v>
      </c>
      <c r="W30" s="134">
        <v>-225992</v>
      </c>
      <c r="X30" s="134">
        <v>-429299</v>
      </c>
      <c r="Y30" s="134">
        <v>32980</v>
      </c>
      <c r="Z30" s="134">
        <v>-32980</v>
      </c>
    </row>
    <row r="31" spans="2:26" ht="20.45" customHeight="1" x14ac:dyDescent="0.25">
      <c r="B31" s="40" t="s">
        <v>247</v>
      </c>
      <c r="C31" s="134">
        <v>0</v>
      </c>
      <c r="D31" s="134">
        <v>0</v>
      </c>
      <c r="E31" s="123"/>
      <c r="F31" s="134">
        <v>0</v>
      </c>
      <c r="G31" s="134">
        <v>0</v>
      </c>
      <c r="H31" s="134"/>
      <c r="I31" s="134" t="s">
        <v>5</v>
      </c>
      <c r="J31" s="134" t="s">
        <v>5</v>
      </c>
      <c r="K31" s="134">
        <v>-46763</v>
      </c>
      <c r="L31" s="134" t="s">
        <v>5</v>
      </c>
      <c r="M31" s="134" t="s">
        <v>5</v>
      </c>
      <c r="N31" s="134" t="s">
        <v>5</v>
      </c>
      <c r="O31" s="134">
        <v>-491037</v>
      </c>
      <c r="P31" s="134">
        <v>-491036</v>
      </c>
      <c r="Q31" s="134" t="s">
        <v>5</v>
      </c>
      <c r="R31" s="134" t="s">
        <v>5</v>
      </c>
      <c r="S31" s="134"/>
      <c r="T31" s="134" t="s">
        <v>5</v>
      </c>
      <c r="U31" s="134" t="s">
        <v>5</v>
      </c>
      <c r="V31" s="134" t="s">
        <v>5</v>
      </c>
      <c r="W31" s="134"/>
      <c r="X31" s="134" t="s">
        <v>5</v>
      </c>
      <c r="Y31" s="134" t="s">
        <v>5</v>
      </c>
      <c r="Z31" s="134" t="s">
        <v>5</v>
      </c>
    </row>
    <row r="32" spans="2:26" ht="20.45" customHeight="1" x14ac:dyDescent="0.25">
      <c r="B32" s="194" t="s">
        <v>248</v>
      </c>
      <c r="C32" s="134">
        <v>-8561</v>
      </c>
      <c r="D32" s="134" t="s">
        <v>5</v>
      </c>
      <c r="E32" s="123"/>
      <c r="F32" s="134">
        <v>-2345</v>
      </c>
      <c r="G32" s="134">
        <v>0</v>
      </c>
      <c r="H32" s="134">
        <v>-2465</v>
      </c>
      <c r="I32" s="134" t="s">
        <v>5</v>
      </c>
      <c r="J32" s="134" t="s">
        <v>5</v>
      </c>
      <c r="K32" s="134"/>
      <c r="L32" s="134">
        <v>-30056</v>
      </c>
      <c r="M32" s="134" t="s">
        <v>5</v>
      </c>
      <c r="N32" s="134" t="s">
        <v>5</v>
      </c>
      <c r="O32" s="134">
        <v>-26757</v>
      </c>
      <c r="P32" s="134">
        <v>-17752</v>
      </c>
      <c r="Q32" s="134" t="s">
        <v>5</v>
      </c>
      <c r="R32" s="134">
        <v>-16963</v>
      </c>
      <c r="S32" s="134">
        <v>-46777</v>
      </c>
      <c r="T32" s="134">
        <v>-5672</v>
      </c>
      <c r="U32" s="134">
        <v>-32457</v>
      </c>
      <c r="V32" s="134">
        <v>-34009</v>
      </c>
      <c r="W32" s="134">
        <v>-13054</v>
      </c>
      <c r="X32" s="134">
        <v>-8542</v>
      </c>
      <c r="Y32" s="134">
        <v>-3132</v>
      </c>
      <c r="Z32" s="134" t="s">
        <v>5</v>
      </c>
    </row>
    <row r="33" spans="2:27" ht="20.45" customHeight="1" x14ac:dyDescent="0.25">
      <c r="B33" s="40" t="s">
        <v>249</v>
      </c>
      <c r="C33" s="134">
        <v>-52877</v>
      </c>
      <c r="D33" s="134">
        <v>-21593</v>
      </c>
      <c r="E33" s="123"/>
      <c r="F33" s="134">
        <v>-54925</v>
      </c>
      <c r="G33" s="134">
        <v>-28044</v>
      </c>
      <c r="H33" s="134">
        <v>-26817</v>
      </c>
      <c r="I33" s="134">
        <v>-21593</v>
      </c>
      <c r="J33" s="134">
        <v>-71950</v>
      </c>
      <c r="K33" s="134">
        <v>-166910</v>
      </c>
      <c r="L33" s="134" t="s">
        <v>5</v>
      </c>
      <c r="M33" s="134">
        <v>-77589</v>
      </c>
      <c r="N33" s="134">
        <v>-65249</v>
      </c>
      <c r="O33" s="134">
        <v>-330114</v>
      </c>
      <c r="P33" s="134">
        <v>-78413</v>
      </c>
      <c r="Q33" s="134">
        <v>-58405</v>
      </c>
      <c r="R33" s="134">
        <v>-84174</v>
      </c>
      <c r="S33" s="134">
        <v>-186610</v>
      </c>
      <c r="T33" s="134">
        <v>-45642</v>
      </c>
      <c r="U33" s="134">
        <v>32467</v>
      </c>
      <c r="V33" s="134">
        <v>-68445</v>
      </c>
      <c r="W33" s="134">
        <v>-141782</v>
      </c>
      <c r="X33" s="134">
        <v>-17179</v>
      </c>
      <c r="Y33" s="134">
        <v>-38703</v>
      </c>
      <c r="Z33" s="134">
        <v>-44008</v>
      </c>
    </row>
    <row r="34" spans="2:27" ht="20.45" customHeight="1" x14ac:dyDescent="0.25">
      <c r="B34" s="40" t="s">
        <v>250</v>
      </c>
      <c r="C34" s="134">
        <v>-2720</v>
      </c>
      <c r="D34" s="134" t="s">
        <v>5</v>
      </c>
      <c r="E34" s="123"/>
      <c r="F34" s="134">
        <v>0</v>
      </c>
      <c r="G34" s="134">
        <v>0</v>
      </c>
      <c r="H34" s="134">
        <v>-10973</v>
      </c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  <c r="V34" s="134"/>
      <c r="W34" s="134"/>
      <c r="X34" s="134"/>
      <c r="Y34" s="134"/>
      <c r="Z34" s="134"/>
    </row>
    <row r="35" spans="2:27" ht="20.45" customHeight="1" x14ac:dyDescent="0.25">
      <c r="B35" s="40" t="s">
        <v>251</v>
      </c>
      <c r="C35" s="134">
        <v>0</v>
      </c>
      <c r="D35" s="134">
        <v>0</v>
      </c>
      <c r="E35" s="123"/>
      <c r="F35" s="134">
        <v>0</v>
      </c>
      <c r="G35" s="134">
        <v>0</v>
      </c>
      <c r="H35" s="134"/>
      <c r="I35" s="134" t="s">
        <v>5</v>
      </c>
      <c r="J35" s="134" t="s">
        <v>5</v>
      </c>
      <c r="K35" s="134"/>
      <c r="L35" s="134" t="s">
        <v>5</v>
      </c>
      <c r="M35" s="134" t="s">
        <v>5</v>
      </c>
      <c r="N35" s="134" t="s">
        <v>5</v>
      </c>
      <c r="O35" s="134"/>
      <c r="P35" s="134" t="s">
        <v>5</v>
      </c>
      <c r="Q35" s="134">
        <v>-3161</v>
      </c>
      <c r="R35" s="134">
        <v>-3893</v>
      </c>
      <c r="S35" s="134">
        <v>-9165</v>
      </c>
      <c r="T35" s="134">
        <v>-3970</v>
      </c>
      <c r="U35" s="134">
        <v>-1091</v>
      </c>
      <c r="V35" s="134">
        <v>-691</v>
      </c>
      <c r="W35" s="134">
        <v>-2912</v>
      </c>
      <c r="X35" s="134">
        <v>114</v>
      </c>
      <c r="Y35" s="134">
        <v>-895</v>
      </c>
      <c r="Z35" s="134">
        <v>-881</v>
      </c>
    </row>
    <row r="36" spans="2:27" ht="20.45" customHeight="1" x14ac:dyDescent="0.25">
      <c r="B36" s="40" t="s">
        <v>252</v>
      </c>
      <c r="C36" s="134">
        <v>-717</v>
      </c>
      <c r="D36" s="134">
        <v>-6177</v>
      </c>
      <c r="E36" s="123"/>
      <c r="F36" s="134">
        <v>-2444</v>
      </c>
      <c r="G36" s="134">
        <v>-2671</v>
      </c>
      <c r="H36" s="134">
        <v>-2757</v>
      </c>
      <c r="I36" s="134">
        <v>-6177</v>
      </c>
      <c r="J36" s="134">
        <v>-8254</v>
      </c>
      <c r="K36" s="134">
        <v>-39753</v>
      </c>
      <c r="L36" s="134">
        <v>-3574</v>
      </c>
      <c r="M36" s="134">
        <v>-16233</v>
      </c>
      <c r="N36" s="134">
        <v>-14040</v>
      </c>
      <c r="O36" s="134">
        <v>-69604</v>
      </c>
      <c r="P36" s="134">
        <v>-16124</v>
      </c>
      <c r="Q36" s="134">
        <v>-15772</v>
      </c>
      <c r="R36" s="134">
        <v>-18376</v>
      </c>
      <c r="S36" s="134">
        <v>-52708</v>
      </c>
      <c r="T36" s="134">
        <v>-12228</v>
      </c>
      <c r="U36" s="134">
        <v>-4416</v>
      </c>
      <c r="V36" s="134">
        <v>-17333</v>
      </c>
      <c r="W36" s="134">
        <v>-56090</v>
      </c>
      <c r="X36" s="134">
        <v>-10741</v>
      </c>
      <c r="Y36" s="134">
        <v>-18349</v>
      </c>
      <c r="Z36" s="134">
        <v>-15229</v>
      </c>
    </row>
    <row r="37" spans="2:27" ht="20.45" customHeight="1" x14ac:dyDescent="0.25">
      <c r="B37" s="40" t="s">
        <v>253</v>
      </c>
      <c r="C37" s="134" t="s">
        <v>5</v>
      </c>
      <c r="D37" s="134">
        <v>-150010</v>
      </c>
      <c r="E37" s="123"/>
      <c r="F37" s="134" t="s">
        <v>5</v>
      </c>
      <c r="G37" s="134">
        <v>-117019</v>
      </c>
      <c r="H37" s="134"/>
      <c r="I37" s="134">
        <v>-150010</v>
      </c>
      <c r="J37" s="134">
        <v>-12725</v>
      </c>
      <c r="K37" s="134">
        <v>-437887</v>
      </c>
      <c r="L37" s="134" t="s">
        <v>5</v>
      </c>
      <c r="M37" s="134" t="s">
        <v>5</v>
      </c>
      <c r="N37" s="134">
        <v>-456647</v>
      </c>
      <c r="O37" s="134">
        <v>-537976</v>
      </c>
      <c r="P37" s="134" t="s">
        <v>5</v>
      </c>
      <c r="Q37" s="134">
        <v>-425417</v>
      </c>
      <c r="R37" s="134">
        <v>-187348</v>
      </c>
      <c r="S37" s="134"/>
      <c r="T37" s="134" t="s">
        <v>5</v>
      </c>
      <c r="U37" s="134" t="s">
        <v>5</v>
      </c>
      <c r="V37" s="134" t="s">
        <v>5</v>
      </c>
      <c r="W37" s="134"/>
      <c r="X37" s="134" t="s">
        <v>5</v>
      </c>
      <c r="Y37" s="134" t="s">
        <v>5</v>
      </c>
      <c r="Z37" s="134" t="s">
        <v>5</v>
      </c>
    </row>
    <row r="38" spans="2:27" ht="21.75" customHeight="1" x14ac:dyDescent="0.25">
      <c r="B38" s="40" t="s">
        <v>254</v>
      </c>
      <c r="C38" s="134" t="s">
        <v>5</v>
      </c>
      <c r="D38" s="134">
        <v>-16779</v>
      </c>
      <c r="E38" s="123"/>
      <c r="F38" s="134">
        <v>-14919</v>
      </c>
      <c r="G38" s="134">
        <v>-23491</v>
      </c>
      <c r="H38" s="134">
        <v>-26374</v>
      </c>
      <c r="I38" s="134">
        <v>-16779</v>
      </c>
      <c r="J38" s="134" t="s">
        <v>5</v>
      </c>
      <c r="K38" s="134">
        <v>-1293826</v>
      </c>
      <c r="L38" s="134">
        <v>-48819</v>
      </c>
      <c r="M38" s="134">
        <v>-356213</v>
      </c>
      <c r="N38" s="134" t="s">
        <v>5</v>
      </c>
      <c r="O38" s="134"/>
      <c r="P38" s="134" t="s">
        <v>5</v>
      </c>
      <c r="Q38" s="134" t="s">
        <v>5</v>
      </c>
      <c r="R38" s="134">
        <v>-6784</v>
      </c>
      <c r="S38" s="134"/>
      <c r="T38" s="134" t="s">
        <v>5</v>
      </c>
      <c r="U38" s="134" t="s">
        <v>5</v>
      </c>
      <c r="V38" s="134" t="s">
        <v>5</v>
      </c>
      <c r="W38" s="134"/>
      <c r="X38" s="134" t="s">
        <v>5</v>
      </c>
      <c r="Y38" s="134" t="s">
        <v>5</v>
      </c>
      <c r="Z38" s="134" t="s">
        <v>5</v>
      </c>
    </row>
    <row r="39" spans="2:27" ht="21.75" customHeight="1" x14ac:dyDescent="0.25">
      <c r="B39" s="40" t="s">
        <v>255</v>
      </c>
      <c r="C39" s="134">
        <v>-6102</v>
      </c>
      <c r="D39" s="134">
        <v>-8945</v>
      </c>
      <c r="E39" s="123"/>
      <c r="F39" s="134">
        <v>-8881</v>
      </c>
      <c r="G39" s="134">
        <v>-8978</v>
      </c>
      <c r="H39" s="134">
        <v>-8944</v>
      </c>
      <c r="I39" s="134">
        <v>-8945</v>
      </c>
      <c r="J39" s="134">
        <v>-8503</v>
      </c>
      <c r="K39" s="134">
        <v>-26835</v>
      </c>
      <c r="L39" s="134">
        <v>-6336</v>
      </c>
      <c r="M39" s="134">
        <v>-6188</v>
      </c>
      <c r="N39" s="134">
        <v>-6285</v>
      </c>
      <c r="O39" s="134">
        <v>-24974</v>
      </c>
      <c r="P39" s="134">
        <v>-6101</v>
      </c>
      <c r="Q39" s="134">
        <v>-6147</v>
      </c>
      <c r="R39" s="134">
        <v>-6332</v>
      </c>
      <c r="S39" s="134">
        <v>-26995</v>
      </c>
      <c r="T39" s="134">
        <v>-6664</v>
      </c>
      <c r="U39" s="134">
        <v>-6738</v>
      </c>
      <c r="V39" s="134">
        <v>-6999</v>
      </c>
      <c r="W39" s="134">
        <v>-33834</v>
      </c>
      <c r="X39" s="134">
        <v>-9298</v>
      </c>
      <c r="Y39" s="134">
        <v>-8992</v>
      </c>
      <c r="Z39" s="134">
        <v>-9340</v>
      </c>
    </row>
    <row r="40" spans="2:27" x14ac:dyDescent="0.25">
      <c r="B40" s="40" t="s">
        <v>256</v>
      </c>
      <c r="C40" s="134">
        <v>0</v>
      </c>
      <c r="D40" s="134">
        <v>0</v>
      </c>
      <c r="E40" s="123"/>
      <c r="F40" s="134">
        <v>0</v>
      </c>
      <c r="G40" s="134" t="s">
        <v>5</v>
      </c>
      <c r="H40" s="134"/>
      <c r="I40" s="134" t="s">
        <v>5</v>
      </c>
      <c r="J40" s="134" t="s">
        <v>5</v>
      </c>
      <c r="K40" s="134"/>
      <c r="L40" s="134" t="s">
        <v>5</v>
      </c>
      <c r="M40" s="134" t="s">
        <v>5</v>
      </c>
      <c r="N40" s="134" t="s">
        <v>5</v>
      </c>
      <c r="O40" s="134"/>
      <c r="P40" s="134" t="s">
        <v>5</v>
      </c>
      <c r="Q40" s="134" t="s">
        <v>5</v>
      </c>
      <c r="R40" s="134" t="s">
        <v>5</v>
      </c>
      <c r="S40" s="134"/>
      <c r="T40" s="134" t="s">
        <v>5</v>
      </c>
      <c r="U40" s="134" t="s">
        <v>5</v>
      </c>
      <c r="V40" s="134" t="s">
        <v>5</v>
      </c>
      <c r="W40" s="134"/>
      <c r="X40" s="134" t="s">
        <v>5</v>
      </c>
      <c r="Y40" s="134" t="s">
        <v>5</v>
      </c>
      <c r="Z40" s="134">
        <v>-1148</v>
      </c>
    </row>
    <row r="41" spans="2:27" x14ac:dyDescent="0.25">
      <c r="B41" s="40" t="s">
        <v>257</v>
      </c>
      <c r="C41" s="134">
        <v>-6888</v>
      </c>
      <c r="D41" s="134">
        <v>-9892</v>
      </c>
      <c r="E41" s="123"/>
      <c r="F41" s="134">
        <v>-7250</v>
      </c>
      <c r="G41" s="134">
        <v>-8242</v>
      </c>
      <c r="H41" s="134">
        <v>-9307</v>
      </c>
      <c r="I41" s="134">
        <v>-9892</v>
      </c>
      <c r="J41" s="134">
        <v>-10259</v>
      </c>
      <c r="K41" s="134">
        <v>-38068</v>
      </c>
      <c r="L41" s="134">
        <v>-10980</v>
      </c>
      <c r="M41" s="134">
        <v>-9409</v>
      </c>
      <c r="N41" s="134">
        <v>-7313</v>
      </c>
      <c r="O41" s="134">
        <v>-12942</v>
      </c>
      <c r="P41" s="134">
        <v>-5651</v>
      </c>
      <c r="Q41" s="134" t="s">
        <v>5</v>
      </c>
      <c r="R41" s="134" t="s">
        <v>5</v>
      </c>
      <c r="S41" s="134"/>
      <c r="T41" s="134" t="s">
        <v>5</v>
      </c>
      <c r="U41" s="134" t="s">
        <v>5</v>
      </c>
      <c r="V41" s="134" t="s">
        <v>5</v>
      </c>
      <c r="W41" s="134">
        <v>-23598</v>
      </c>
      <c r="X41" s="134" t="s">
        <v>5</v>
      </c>
      <c r="Y41" s="134" t="s">
        <v>5</v>
      </c>
      <c r="Z41" s="134" t="s">
        <v>5</v>
      </c>
    </row>
    <row r="42" spans="2:27" x14ac:dyDescent="0.25">
      <c r="B42" s="40" t="s">
        <v>565</v>
      </c>
      <c r="C42" s="134">
        <v>-37970</v>
      </c>
      <c r="D42" s="134" t="s">
        <v>5</v>
      </c>
      <c r="E42" s="123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34"/>
      <c r="T42" s="134"/>
      <c r="U42" s="134"/>
      <c r="V42" s="134"/>
      <c r="W42" s="134"/>
      <c r="X42" s="134"/>
      <c r="Y42" s="134"/>
      <c r="Z42" s="134"/>
    </row>
    <row r="43" spans="2:27" x14ac:dyDescent="0.25">
      <c r="B43" s="40" t="s">
        <v>258</v>
      </c>
      <c r="C43" s="134">
        <v>-31737</v>
      </c>
      <c r="D43" s="134">
        <v>-22897</v>
      </c>
      <c r="E43" s="123"/>
      <c r="F43" s="134">
        <v>-26975</v>
      </c>
      <c r="G43" s="134">
        <v>-16096</v>
      </c>
      <c r="H43" s="134">
        <v>-47388</v>
      </c>
      <c r="I43" s="134">
        <v>-22897</v>
      </c>
      <c r="J43" s="134">
        <v>-78118</v>
      </c>
      <c r="K43" s="134">
        <v>-80772</v>
      </c>
      <c r="L43" s="134">
        <v>-16833</v>
      </c>
      <c r="M43" s="134">
        <v>-30493</v>
      </c>
      <c r="N43" s="134">
        <v>-20005</v>
      </c>
      <c r="O43" s="134">
        <v>-82436</v>
      </c>
      <c r="P43" s="134">
        <v>-14295</v>
      </c>
      <c r="Q43" s="134">
        <v>-29221</v>
      </c>
      <c r="R43" s="134">
        <v>-13820</v>
      </c>
      <c r="S43" s="134">
        <v>-93239</v>
      </c>
      <c r="T43" s="134">
        <v>-24103</v>
      </c>
      <c r="U43" s="134">
        <v>-11970</v>
      </c>
      <c r="V43" s="134">
        <v>-10623</v>
      </c>
      <c r="W43" s="134">
        <v>-84798</v>
      </c>
      <c r="X43" s="134">
        <v>-38659</v>
      </c>
      <c r="Y43" s="134">
        <v>-17237</v>
      </c>
      <c r="Z43" s="134">
        <v>-38147</v>
      </c>
    </row>
    <row r="44" spans="2:27" x14ac:dyDescent="0.25">
      <c r="B44" s="132"/>
      <c r="C44" s="137">
        <v>-607355</v>
      </c>
      <c r="D44" s="137">
        <v>-472321</v>
      </c>
      <c r="E44" s="123"/>
      <c r="F44" s="137">
        <f>SUM(F28:F43)</f>
        <v>-399231</v>
      </c>
      <c r="G44" s="137">
        <v>-466361</v>
      </c>
      <c r="H44" s="137">
        <v>-560530</v>
      </c>
      <c r="I44" s="137">
        <v>-472321</v>
      </c>
      <c r="J44" s="137">
        <v>-435698</v>
      </c>
      <c r="K44" s="137">
        <v>-3066415</v>
      </c>
      <c r="L44" s="137">
        <v>-521209</v>
      </c>
      <c r="M44" s="137">
        <v>-1233880</v>
      </c>
      <c r="N44" s="137">
        <v>-794862</v>
      </c>
      <c r="O44" s="137">
        <v>-3096299</v>
      </c>
      <c r="P44" s="137">
        <v>-1434317</v>
      </c>
      <c r="Q44" s="137">
        <v>-809897</v>
      </c>
      <c r="R44" s="137">
        <v>-1419635</v>
      </c>
      <c r="S44" s="137">
        <v>-3350864</v>
      </c>
      <c r="T44" s="137">
        <v>-661987</v>
      </c>
      <c r="U44" s="137">
        <v>-705395</v>
      </c>
      <c r="V44" s="137">
        <v>-2209481</v>
      </c>
      <c r="W44" s="137">
        <v>-1846573</v>
      </c>
      <c r="X44" s="137">
        <v>-852766</v>
      </c>
      <c r="Y44" s="137">
        <v>-363883</v>
      </c>
      <c r="Z44" s="137">
        <v>-452078</v>
      </c>
    </row>
    <row r="45" spans="2:27" ht="19.5" thickBot="1" x14ac:dyDescent="0.3">
      <c r="B45" s="41" t="s">
        <v>259</v>
      </c>
      <c r="C45" s="138">
        <v>118119</v>
      </c>
      <c r="D45" s="138">
        <v>39810</v>
      </c>
      <c r="E45" s="123"/>
      <c r="F45" s="138">
        <f>F44+F26</f>
        <v>-180986</v>
      </c>
      <c r="G45" s="138">
        <v>-98010</v>
      </c>
      <c r="H45" s="138">
        <v>-214852</v>
      </c>
      <c r="I45" s="138">
        <v>39810</v>
      </c>
      <c r="J45" s="138">
        <v>-105914</v>
      </c>
      <c r="K45" s="138">
        <v>-1566621</v>
      </c>
      <c r="L45" s="138">
        <v>-109461</v>
      </c>
      <c r="M45" s="138">
        <v>-870949</v>
      </c>
      <c r="N45" s="138">
        <v>314163</v>
      </c>
      <c r="O45" s="138">
        <v>-2252993</v>
      </c>
      <c r="P45" s="138">
        <v>-1155490</v>
      </c>
      <c r="Q45" s="138">
        <v>478528</v>
      </c>
      <c r="R45" s="138">
        <v>-1265220</v>
      </c>
      <c r="S45" s="138">
        <v>-905459</v>
      </c>
      <c r="T45" s="138">
        <v>-496619</v>
      </c>
      <c r="U45" s="138">
        <v>-35317</v>
      </c>
      <c r="V45" s="138">
        <v>-726746</v>
      </c>
      <c r="W45" s="138">
        <v>1360277</v>
      </c>
      <c r="X45" s="138">
        <v>-233791</v>
      </c>
      <c r="Y45" s="138">
        <v>1908587</v>
      </c>
      <c r="Z45" s="138">
        <v>-101560</v>
      </c>
    </row>
    <row r="46" spans="2:27" ht="19.5" thickTop="1" x14ac:dyDescent="0.25"/>
    <row r="47" spans="2:27" x14ac:dyDescent="0.25">
      <c r="C47" s="112">
        <f>SUM(C12:C25)-C26</f>
        <v>0</v>
      </c>
      <c r="D47" s="112">
        <f>SUM(D12:D25)-D26</f>
        <v>0</v>
      </c>
      <c r="E47" s="112"/>
      <c r="G47" s="112"/>
      <c r="H47" s="112">
        <f t="shared" ref="H47:Z47" si="0">SUM(H12:H25)-H26</f>
        <v>0</v>
      </c>
      <c r="I47" s="112">
        <f t="shared" si="0"/>
        <v>0</v>
      </c>
      <c r="J47" s="112">
        <f t="shared" si="0"/>
        <v>0</v>
      </c>
      <c r="K47" s="112">
        <f t="shared" si="0"/>
        <v>0</v>
      </c>
      <c r="L47" s="112">
        <f t="shared" si="0"/>
        <v>0</v>
      </c>
      <c r="M47" s="112">
        <f t="shared" si="0"/>
        <v>0</v>
      </c>
      <c r="N47" s="112">
        <f t="shared" si="0"/>
        <v>0</v>
      </c>
      <c r="O47" s="112">
        <f t="shared" si="0"/>
        <v>0</v>
      </c>
      <c r="P47" s="112">
        <f t="shared" si="0"/>
        <v>0</v>
      </c>
      <c r="Q47" s="112">
        <f t="shared" si="0"/>
        <v>0</v>
      </c>
      <c r="R47" s="112">
        <f t="shared" si="0"/>
        <v>0</v>
      </c>
      <c r="S47" s="112">
        <f t="shared" si="0"/>
        <v>0</v>
      </c>
      <c r="T47" s="112">
        <f t="shared" si="0"/>
        <v>0</v>
      </c>
      <c r="U47" s="112">
        <f t="shared" si="0"/>
        <v>0</v>
      </c>
      <c r="V47" s="112">
        <f t="shared" si="0"/>
        <v>0</v>
      </c>
      <c r="W47" s="112">
        <f t="shared" si="0"/>
        <v>0</v>
      </c>
      <c r="X47" s="112">
        <f t="shared" si="0"/>
        <v>0</v>
      </c>
      <c r="Y47" s="112">
        <f t="shared" si="0"/>
        <v>0</v>
      </c>
      <c r="Z47" s="112">
        <f t="shared" si="0"/>
        <v>0</v>
      </c>
      <c r="AA47" s="112"/>
    </row>
    <row r="48" spans="2:27" x14ac:dyDescent="0.25">
      <c r="C48" s="112">
        <f t="shared" ref="C48:D48" si="1">SUM(C28:C43)-C44</f>
        <v>0</v>
      </c>
      <c r="D48" s="112">
        <f t="shared" si="1"/>
        <v>0</v>
      </c>
      <c r="E48" s="112"/>
      <c r="G48" s="112"/>
      <c r="H48" s="112">
        <f t="shared" ref="H48:Z48" si="2">SUM(H28:H43)-H44</f>
        <v>0</v>
      </c>
      <c r="I48" s="112">
        <f t="shared" si="2"/>
        <v>0</v>
      </c>
      <c r="J48" s="112">
        <f t="shared" si="2"/>
        <v>0</v>
      </c>
      <c r="K48" s="112">
        <f t="shared" si="2"/>
        <v>0</v>
      </c>
      <c r="L48" s="112">
        <f t="shared" si="2"/>
        <v>0</v>
      </c>
      <c r="M48" s="112">
        <f t="shared" si="2"/>
        <v>0</v>
      </c>
      <c r="N48" s="112">
        <f t="shared" si="2"/>
        <v>0</v>
      </c>
      <c r="O48" s="112">
        <f t="shared" si="2"/>
        <v>0</v>
      </c>
      <c r="P48" s="112">
        <f t="shared" si="2"/>
        <v>0</v>
      </c>
      <c r="Q48" s="112">
        <f t="shared" si="2"/>
        <v>0</v>
      </c>
      <c r="R48" s="112">
        <f t="shared" si="2"/>
        <v>0</v>
      </c>
      <c r="S48" s="112">
        <f t="shared" si="2"/>
        <v>0</v>
      </c>
      <c r="T48" s="112">
        <f t="shared" si="2"/>
        <v>0</v>
      </c>
      <c r="U48" s="112">
        <f t="shared" si="2"/>
        <v>0</v>
      </c>
      <c r="V48" s="112">
        <f t="shared" si="2"/>
        <v>0</v>
      </c>
      <c r="W48" s="112">
        <f t="shared" si="2"/>
        <v>0</v>
      </c>
      <c r="X48" s="112">
        <f t="shared" si="2"/>
        <v>0</v>
      </c>
      <c r="Y48" s="112">
        <f t="shared" si="2"/>
        <v>0</v>
      </c>
      <c r="Z48" s="112">
        <f t="shared" si="2"/>
        <v>0</v>
      </c>
      <c r="AA48" s="112"/>
    </row>
    <row r="49" spans="3:27" x14ac:dyDescent="0.25">
      <c r="C49" s="112">
        <f t="shared" ref="C49:D49" si="3">C26+C44-C45</f>
        <v>0</v>
      </c>
      <c r="D49" s="112">
        <f t="shared" si="3"/>
        <v>0</v>
      </c>
      <c r="E49" s="112"/>
      <c r="G49" s="112"/>
      <c r="H49" s="112">
        <f t="shared" ref="H49:Z49" si="4">H26+H44-H45</f>
        <v>0</v>
      </c>
      <c r="I49" s="112">
        <f t="shared" si="4"/>
        <v>0</v>
      </c>
      <c r="J49" s="112">
        <f t="shared" si="4"/>
        <v>0</v>
      </c>
      <c r="K49" s="112">
        <f t="shared" si="4"/>
        <v>0</v>
      </c>
      <c r="L49" s="112">
        <f t="shared" si="4"/>
        <v>0</v>
      </c>
      <c r="M49" s="112">
        <f t="shared" si="4"/>
        <v>0</v>
      </c>
      <c r="N49" s="112">
        <f t="shared" si="4"/>
        <v>0</v>
      </c>
      <c r="O49" s="112">
        <f t="shared" si="4"/>
        <v>0</v>
      </c>
      <c r="P49" s="112">
        <f t="shared" si="4"/>
        <v>0</v>
      </c>
      <c r="Q49" s="112">
        <f t="shared" si="4"/>
        <v>0</v>
      </c>
      <c r="R49" s="112">
        <f t="shared" si="4"/>
        <v>0</v>
      </c>
      <c r="S49" s="112">
        <f t="shared" si="4"/>
        <v>0</v>
      </c>
      <c r="T49" s="112">
        <f t="shared" si="4"/>
        <v>0</v>
      </c>
      <c r="U49" s="112">
        <f t="shared" si="4"/>
        <v>0</v>
      </c>
      <c r="V49" s="112">
        <f t="shared" si="4"/>
        <v>0</v>
      </c>
      <c r="W49" s="112">
        <f t="shared" si="4"/>
        <v>0</v>
      </c>
      <c r="X49" s="112">
        <f t="shared" si="4"/>
        <v>0</v>
      </c>
      <c r="Y49" s="112">
        <f t="shared" si="4"/>
        <v>0</v>
      </c>
      <c r="Z49" s="112">
        <f t="shared" si="4"/>
        <v>0</v>
      </c>
      <c r="AA49" s="112"/>
    </row>
    <row r="50" spans="3:27" x14ac:dyDescent="0.25">
      <c r="C50" s="112">
        <f>DRE!C42-C45</f>
        <v>0</v>
      </c>
      <c r="D50" s="112">
        <f>DRE!D42-D45</f>
        <v>0</v>
      </c>
      <c r="E50" s="112"/>
      <c r="G50" s="112"/>
      <c r="H50" s="112">
        <f>DRE!I42-H45</f>
        <v>0</v>
      </c>
      <c r="I50" s="112">
        <f>DRE!J42-I45</f>
        <v>0</v>
      </c>
      <c r="J50" s="112">
        <f>DRE!K42-J45</f>
        <v>0</v>
      </c>
      <c r="K50" s="112">
        <f>DRE!L42-K45</f>
        <v>0</v>
      </c>
      <c r="L50" s="112">
        <f>DRE!M42-L45</f>
        <v>0</v>
      </c>
      <c r="M50" s="112">
        <f>DRE!N42-M45</f>
        <v>0</v>
      </c>
      <c r="N50" s="112">
        <f>DRE!O42-N45</f>
        <v>0</v>
      </c>
      <c r="O50" s="112">
        <f>DRE!P42-O45</f>
        <v>0</v>
      </c>
      <c r="P50" s="112">
        <f>DRE!Q42-P45</f>
        <v>0</v>
      </c>
      <c r="Q50" s="112">
        <f>DRE!R42-Q45</f>
        <v>0</v>
      </c>
      <c r="R50" s="112">
        <f>DRE!S42-R45</f>
        <v>0</v>
      </c>
      <c r="S50" s="112">
        <f>DRE!T42-S45</f>
        <v>0</v>
      </c>
      <c r="T50" s="112">
        <f>DRE!U42-T45</f>
        <v>0</v>
      </c>
      <c r="U50" s="112">
        <f>DRE!V42-U45</f>
        <v>0</v>
      </c>
      <c r="V50" s="112">
        <f>DRE!W42-V45</f>
        <v>0</v>
      </c>
      <c r="W50" s="112">
        <f>DRE!X42-W45</f>
        <v>0</v>
      </c>
      <c r="X50" s="112">
        <f>DRE!Y42-X45</f>
        <v>0</v>
      </c>
      <c r="Y50" s="112">
        <f>DRE!Z42-Y45</f>
        <v>0</v>
      </c>
      <c r="Z50" s="112" t="e">
        <f>DRE!#REF!-Z45</f>
        <v>#REF!</v>
      </c>
      <c r="AA50" s="112"/>
    </row>
  </sheetData>
  <mergeCells count="3">
    <mergeCell ref="C9:D9"/>
    <mergeCell ref="B9:B10"/>
    <mergeCell ref="F9:Z9"/>
  </mergeCells>
  <conditionalFormatting sqref="B11:B31 B33:B45">
    <cfRule type="expression" dxfId="44" priority="22">
      <formula>MOD(ROW(),2)=0</formula>
    </cfRule>
  </conditionalFormatting>
  <conditionalFormatting sqref="F1:F8 E9:E45 C47:AA50">
    <cfRule type="cellIs" dxfId="43" priority="16" operator="notEqual">
      <formula>0</formula>
    </cfRule>
  </conditionalFormatting>
  <conditionalFormatting sqref="H20:H45 G11:H19 C20:C39 C11:D19 I14:K19 P20:Z45 N14:Z19 G20:G39 D20:D45">
    <cfRule type="expression" dxfId="42" priority="14">
      <formula>MOD(ROW(),2)=0</formula>
    </cfRule>
  </conditionalFormatting>
  <conditionalFormatting sqref="I11:Z13 L14:N14 L15:M15 L16:N16 L19:N19 L17:M18 I20:O27 I28:M29 O28:O29 I30:O30 I31:M31 O31 I32:O32 I33:M34 O33:O34 I35:O35 I36:M39 O36:O43 I40:N40 M41:M44 I41:L45 N44:O44 M45:O45">
    <cfRule type="expression" dxfId="41" priority="21">
      <formula>MOD(ROW(),2)=0</formula>
    </cfRule>
  </conditionalFormatting>
  <conditionalFormatting sqref="I47:Z50">
    <cfRule type="cellIs" dxfId="40" priority="15" operator="notEqual">
      <formula>0</formula>
    </cfRule>
  </conditionalFormatting>
  <conditionalFormatting sqref="N28:N43">
    <cfRule type="expression" dxfId="39" priority="18">
      <formula>MOD(ROW(),2)=0</formula>
    </cfRule>
  </conditionalFormatting>
  <conditionalFormatting sqref="C41:C45">
    <cfRule type="expression" dxfId="38" priority="13">
      <formula>MOD(ROW(),2)=0</formula>
    </cfRule>
  </conditionalFormatting>
  <conditionalFormatting sqref="C40">
    <cfRule type="expression" dxfId="37" priority="11">
      <formula>MOD(ROW(),2)=0</formula>
    </cfRule>
  </conditionalFormatting>
  <conditionalFormatting sqref="B32">
    <cfRule type="expression" dxfId="36" priority="10">
      <formula>MOD(ROW(),2)=0</formula>
    </cfRule>
  </conditionalFormatting>
  <conditionalFormatting sqref="G41:G45">
    <cfRule type="expression" dxfId="35" priority="7">
      <formula>MOD(ROW(),2)=0</formula>
    </cfRule>
  </conditionalFormatting>
  <conditionalFormatting sqref="G40">
    <cfRule type="expression" dxfId="34" priority="6">
      <formula>MOD(ROW(),2)=0</formula>
    </cfRule>
  </conditionalFormatting>
  <conditionalFormatting sqref="F11:F39">
    <cfRule type="expression" dxfId="33" priority="3">
      <formula>MOD(ROW(),2)=0</formula>
    </cfRule>
  </conditionalFormatting>
  <conditionalFormatting sqref="F41:F45">
    <cfRule type="expression" dxfId="32" priority="2">
      <formula>MOD(ROW(),2)=0</formula>
    </cfRule>
  </conditionalFormatting>
  <conditionalFormatting sqref="F40">
    <cfRule type="expression" dxfId="31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Planilha14"/>
  <dimension ref="B4:X91"/>
  <sheetViews>
    <sheetView showGridLines="0" showRowColHeaders="0" zoomScale="85" zoomScaleNormal="85" workbookViewId="0"/>
  </sheetViews>
  <sheetFormatPr defaultColWidth="8.7109375" defaultRowHeight="15" x14ac:dyDescent="0.25"/>
  <cols>
    <col min="1" max="1" width="9.85546875" customWidth="1"/>
    <col min="2" max="2" width="38.5703125" customWidth="1"/>
    <col min="3" max="9" width="13.5703125" customWidth="1"/>
    <col min="10" max="11" width="12.85546875" bestFit="1" customWidth="1"/>
    <col min="12" max="31" width="13.5703125" customWidth="1"/>
  </cols>
  <sheetData>
    <row r="4" spans="2:9" x14ac:dyDescent="0.25">
      <c r="B4" s="390"/>
      <c r="C4" s="390"/>
      <c r="D4" s="390"/>
      <c r="E4" s="390"/>
      <c r="F4" s="390"/>
      <c r="G4" s="390"/>
      <c r="H4" s="390"/>
      <c r="I4" s="390"/>
    </row>
    <row r="5" spans="2:9" x14ac:dyDescent="0.25">
      <c r="B5" s="390"/>
      <c r="C5" s="390"/>
      <c r="D5" s="390"/>
      <c r="E5" s="390"/>
      <c r="F5" s="390"/>
      <c r="G5" s="390"/>
      <c r="H5" s="390"/>
      <c r="I5" s="390"/>
    </row>
    <row r="6" spans="2:9" x14ac:dyDescent="0.25">
      <c r="B6" s="390"/>
      <c r="C6" s="390"/>
      <c r="D6" s="390"/>
      <c r="E6" s="390"/>
      <c r="F6" s="390"/>
      <c r="G6" s="390"/>
      <c r="H6" s="390"/>
      <c r="I6" s="390"/>
    </row>
    <row r="7" spans="2:9" ht="18.75" x14ac:dyDescent="0.25">
      <c r="B7" s="93"/>
      <c r="C7" s="93"/>
      <c r="D7" s="93"/>
      <c r="E7" s="93"/>
      <c r="F7" s="93"/>
      <c r="G7" s="93"/>
      <c r="H7" s="93"/>
      <c r="I7" s="93"/>
    </row>
    <row r="8" spans="2:9" ht="18.75" x14ac:dyDescent="0.25">
      <c r="B8" s="93"/>
      <c r="C8" s="93"/>
      <c r="D8" s="93"/>
      <c r="E8" s="93"/>
      <c r="F8" s="93"/>
      <c r="G8" s="93"/>
      <c r="H8" s="93"/>
      <c r="I8" s="93"/>
    </row>
    <row r="9" spans="2:9" ht="18.75" x14ac:dyDescent="0.25">
      <c r="B9" s="93"/>
      <c r="C9" s="93"/>
      <c r="D9" s="93"/>
      <c r="E9" s="93"/>
      <c r="F9" s="93"/>
      <c r="G9" s="93"/>
      <c r="H9" s="93"/>
      <c r="I9" s="93"/>
    </row>
    <row r="10" spans="2:9" x14ac:dyDescent="0.25">
      <c r="B10" s="205" t="s">
        <v>130</v>
      </c>
    </row>
    <row r="11" spans="2:9" ht="30" x14ac:dyDescent="0.25">
      <c r="B11" s="206" t="s">
        <v>260</v>
      </c>
      <c r="C11" s="207">
        <v>2024</v>
      </c>
      <c r="D11" s="207">
        <v>2025</v>
      </c>
      <c r="E11" s="207">
        <v>2026</v>
      </c>
      <c r="F11" s="207">
        <v>2027</v>
      </c>
      <c r="G11" s="207">
        <v>2028</v>
      </c>
      <c r="H11" s="207" t="s">
        <v>261</v>
      </c>
      <c r="I11" s="207" t="s">
        <v>59</v>
      </c>
    </row>
    <row r="12" spans="2:9" x14ac:dyDescent="0.25">
      <c r="B12" s="208" t="s">
        <v>262</v>
      </c>
      <c r="C12" s="209"/>
      <c r="D12" s="209"/>
      <c r="E12" s="209"/>
      <c r="F12" s="209"/>
      <c r="G12" s="209"/>
      <c r="H12" s="209"/>
      <c r="I12" s="209"/>
    </row>
    <row r="13" spans="2:9" x14ac:dyDescent="0.25">
      <c r="B13" s="210" t="s">
        <v>263</v>
      </c>
      <c r="C13" s="211">
        <v>2134562</v>
      </c>
      <c r="D13" s="211" t="s">
        <v>5</v>
      </c>
      <c r="E13" s="211" t="s">
        <v>5</v>
      </c>
      <c r="F13" s="211" t="s">
        <v>5</v>
      </c>
      <c r="G13" s="211" t="s">
        <v>5</v>
      </c>
      <c r="H13" s="211" t="s">
        <v>5</v>
      </c>
      <c r="I13" s="211">
        <v>2134562</v>
      </c>
    </row>
    <row r="14" spans="2:9" x14ac:dyDescent="0.25">
      <c r="B14" s="212" t="s">
        <v>264</v>
      </c>
      <c r="C14" s="213">
        <v>2134562</v>
      </c>
      <c r="D14" s="213" t="s">
        <v>5</v>
      </c>
      <c r="E14" s="213" t="s">
        <v>5</v>
      </c>
      <c r="F14" s="213" t="s">
        <v>5</v>
      </c>
      <c r="G14" s="213" t="s">
        <v>5</v>
      </c>
      <c r="H14" s="213" t="s">
        <v>5</v>
      </c>
      <c r="I14" s="213">
        <v>2134562</v>
      </c>
    </row>
    <row r="15" spans="2:9" x14ac:dyDescent="0.25">
      <c r="B15" s="208" t="s">
        <v>265</v>
      </c>
      <c r="C15" s="214"/>
      <c r="D15" s="214"/>
      <c r="E15" s="214"/>
      <c r="F15" s="214"/>
      <c r="G15" s="214"/>
      <c r="H15" s="214"/>
      <c r="I15" s="214"/>
    </row>
    <row r="16" spans="2:9" x14ac:dyDescent="0.25">
      <c r="B16" s="210" t="s">
        <v>266</v>
      </c>
      <c r="C16" s="214">
        <v>176545</v>
      </c>
      <c r="D16" s="214">
        <v>1434948</v>
      </c>
      <c r="E16" s="214">
        <v>1128848</v>
      </c>
      <c r="F16" s="214">
        <v>136023</v>
      </c>
      <c r="G16" s="214">
        <v>414158</v>
      </c>
      <c r="H16" s="214">
        <v>2670205</v>
      </c>
      <c r="I16" s="214">
        <v>5960727</v>
      </c>
    </row>
    <row r="17" spans="2:9" x14ac:dyDescent="0.25">
      <c r="B17" s="210" t="s">
        <v>267</v>
      </c>
      <c r="C17" s="211">
        <v>46943</v>
      </c>
      <c r="D17" s="211">
        <v>1233333</v>
      </c>
      <c r="E17" s="211">
        <v>1233333</v>
      </c>
      <c r="F17" s="211">
        <v>733333</v>
      </c>
      <c r="G17" s="211">
        <v>200000</v>
      </c>
      <c r="H17" s="211">
        <v>200000</v>
      </c>
      <c r="I17" s="211">
        <v>3646942</v>
      </c>
    </row>
    <row r="18" spans="2:9" x14ac:dyDescent="0.25">
      <c r="B18" s="208" t="s">
        <v>268</v>
      </c>
      <c r="C18" s="213">
        <v>223488</v>
      </c>
      <c r="D18" s="213">
        <v>2668281</v>
      </c>
      <c r="E18" s="213">
        <v>2362181</v>
      </c>
      <c r="F18" s="213">
        <v>869356</v>
      </c>
      <c r="G18" s="213">
        <v>614158</v>
      </c>
      <c r="H18" s="213">
        <v>2870205</v>
      </c>
      <c r="I18" s="213">
        <v>9607669</v>
      </c>
    </row>
    <row r="19" spans="2:9" x14ac:dyDescent="0.25">
      <c r="B19" s="215" t="s">
        <v>269</v>
      </c>
      <c r="C19" s="214">
        <v>-2833</v>
      </c>
      <c r="D19" s="214">
        <v>-7669</v>
      </c>
      <c r="E19" s="214">
        <v>-7744</v>
      </c>
      <c r="F19" s="214">
        <v>-3565</v>
      </c>
      <c r="G19" s="214">
        <v>-11456</v>
      </c>
      <c r="H19" s="214">
        <v>-57594</v>
      </c>
      <c r="I19" s="214">
        <v>-90861</v>
      </c>
    </row>
    <row r="20" spans="2:9" x14ac:dyDescent="0.25">
      <c r="B20" s="210" t="s">
        <v>270</v>
      </c>
      <c r="C20" s="214">
        <v>-914</v>
      </c>
      <c r="D20" s="214" t="s">
        <v>5</v>
      </c>
      <c r="E20" s="214" t="s">
        <v>5</v>
      </c>
      <c r="F20" s="214" t="s">
        <v>5</v>
      </c>
      <c r="G20" s="214" t="s">
        <v>5</v>
      </c>
      <c r="H20" s="214" t="s">
        <v>5</v>
      </c>
      <c r="I20" s="214">
        <v>-914</v>
      </c>
    </row>
    <row r="21" spans="2:9" x14ac:dyDescent="0.25">
      <c r="B21" s="215" t="s">
        <v>555</v>
      </c>
      <c r="C21" s="214" t="s">
        <v>5</v>
      </c>
      <c r="D21" s="214">
        <v>-3375</v>
      </c>
      <c r="E21" s="214">
        <v>-3375</v>
      </c>
      <c r="F21" s="214" t="s">
        <v>5</v>
      </c>
      <c r="G21" s="214">
        <v>-134</v>
      </c>
      <c r="H21" s="214">
        <v>-134</v>
      </c>
      <c r="I21" s="214">
        <v>-7018</v>
      </c>
    </row>
    <row r="22" spans="2:9" ht="15.75" thickBot="1" x14ac:dyDescent="0.3">
      <c r="B22" s="356" t="s">
        <v>271</v>
      </c>
      <c r="C22" s="357">
        <v>2354303</v>
      </c>
      <c r="D22" s="357">
        <v>2657237</v>
      </c>
      <c r="E22" s="357">
        <v>2351062</v>
      </c>
      <c r="F22" s="357">
        <v>865791</v>
      </c>
      <c r="G22" s="357">
        <v>602568</v>
      </c>
      <c r="H22" s="357">
        <v>2812477</v>
      </c>
      <c r="I22" s="357">
        <v>11643438</v>
      </c>
    </row>
    <row r="23" spans="2:9" ht="15.75" thickTop="1" x14ac:dyDescent="0.25">
      <c r="B23" s="216"/>
      <c r="C23" s="112">
        <f t="shared" ref="C23:I23" si="0">C14-C13</f>
        <v>0</v>
      </c>
      <c r="D23" s="112" t="e">
        <f t="shared" si="0"/>
        <v>#VALUE!</v>
      </c>
      <c r="E23" s="112" t="e">
        <f t="shared" si="0"/>
        <v>#VALUE!</v>
      </c>
      <c r="F23" s="112" t="e">
        <f t="shared" si="0"/>
        <v>#VALUE!</v>
      </c>
      <c r="G23" s="112" t="e">
        <f t="shared" si="0"/>
        <v>#VALUE!</v>
      </c>
      <c r="H23" s="112" t="e">
        <f t="shared" si="0"/>
        <v>#VALUE!</v>
      </c>
      <c r="I23" s="112">
        <f t="shared" si="0"/>
        <v>0</v>
      </c>
    </row>
    <row r="24" spans="2:9" hidden="1" x14ac:dyDescent="0.25">
      <c r="C24" s="112">
        <f t="shared" ref="C24:I24" si="1">C13-C14</f>
        <v>0</v>
      </c>
      <c r="D24" s="112" t="e">
        <f t="shared" si="1"/>
        <v>#VALUE!</v>
      </c>
      <c r="E24" s="112" t="e">
        <f t="shared" si="1"/>
        <v>#VALUE!</v>
      </c>
      <c r="F24" s="112" t="e">
        <f t="shared" si="1"/>
        <v>#VALUE!</v>
      </c>
      <c r="G24" s="112" t="e">
        <f t="shared" si="1"/>
        <v>#VALUE!</v>
      </c>
      <c r="H24" s="112" t="e">
        <f t="shared" si="1"/>
        <v>#VALUE!</v>
      </c>
      <c r="I24" s="112">
        <f t="shared" si="1"/>
        <v>0</v>
      </c>
    </row>
    <row r="25" spans="2:9" hidden="1" x14ac:dyDescent="0.25">
      <c r="C25" s="112">
        <f t="shared" ref="C25:I25" si="2">SUM(C16:C17)-C18</f>
        <v>0</v>
      </c>
      <c r="D25" s="112">
        <f t="shared" si="2"/>
        <v>0</v>
      </c>
      <c r="E25" s="112">
        <f t="shared" si="2"/>
        <v>0</v>
      </c>
      <c r="F25" s="112">
        <f t="shared" si="2"/>
        <v>0</v>
      </c>
      <c r="G25" s="112">
        <f t="shared" si="2"/>
        <v>0</v>
      </c>
      <c r="H25" s="112">
        <f t="shared" si="2"/>
        <v>0</v>
      </c>
      <c r="I25" s="112">
        <f t="shared" si="2"/>
        <v>0</v>
      </c>
    </row>
    <row r="26" spans="2:9" hidden="1" x14ac:dyDescent="0.25">
      <c r="C26" s="112">
        <f t="shared" ref="C26:I26" si="3">SUM(C14,C18:C21)-C22</f>
        <v>0</v>
      </c>
      <c r="D26" s="112">
        <f t="shared" si="3"/>
        <v>0</v>
      </c>
      <c r="E26" s="112">
        <f t="shared" si="3"/>
        <v>0</v>
      </c>
      <c r="F26" s="112">
        <f t="shared" si="3"/>
        <v>0</v>
      </c>
      <c r="G26" s="112">
        <f t="shared" si="3"/>
        <v>0</v>
      </c>
      <c r="H26" s="112">
        <f t="shared" si="3"/>
        <v>0</v>
      </c>
      <c r="I26" s="112">
        <f t="shared" si="3"/>
        <v>0</v>
      </c>
    </row>
    <row r="27" spans="2:9" hidden="1" x14ac:dyDescent="0.25">
      <c r="C27" s="112"/>
      <c r="D27" s="112"/>
      <c r="E27" s="112"/>
      <c r="F27" s="112"/>
      <c r="G27" s="112"/>
      <c r="H27" s="112"/>
      <c r="I27" s="112"/>
    </row>
    <row r="28" spans="2:9" x14ac:dyDescent="0.25">
      <c r="D28" s="112"/>
      <c r="E28" s="112"/>
      <c r="F28" s="112"/>
      <c r="G28" s="112"/>
      <c r="H28" s="112"/>
      <c r="I28" s="112"/>
    </row>
    <row r="29" spans="2:9" x14ac:dyDescent="0.25">
      <c r="D29" s="112"/>
      <c r="E29" s="112"/>
      <c r="F29" s="112"/>
      <c r="G29" s="112"/>
      <c r="H29" s="112"/>
      <c r="I29" s="112"/>
    </row>
    <row r="30" spans="2:9" x14ac:dyDescent="0.25">
      <c r="C30" s="112">
        <f t="shared" ref="C30:I30" si="4">C14+C18+SUM(C19:C21)-C22</f>
        <v>0</v>
      </c>
      <c r="D30" s="112" t="e">
        <f t="shared" si="4"/>
        <v>#VALUE!</v>
      </c>
      <c r="E30" s="112" t="e">
        <f t="shared" si="4"/>
        <v>#VALUE!</v>
      </c>
      <c r="F30" s="112" t="e">
        <f t="shared" si="4"/>
        <v>#VALUE!</v>
      </c>
      <c r="G30" s="112" t="e">
        <f t="shared" si="4"/>
        <v>#VALUE!</v>
      </c>
      <c r="H30" s="112" t="e">
        <f t="shared" si="4"/>
        <v>#VALUE!</v>
      </c>
      <c r="I30" s="112">
        <f t="shared" si="4"/>
        <v>0</v>
      </c>
    </row>
    <row r="31" spans="2:9" ht="15.75" thickBot="1" x14ac:dyDescent="0.3">
      <c r="B31" s="205" t="s">
        <v>130</v>
      </c>
    </row>
    <row r="32" spans="2:9" ht="15.75" thickBot="1" x14ac:dyDescent="0.3">
      <c r="B32" s="391" t="s">
        <v>272</v>
      </c>
      <c r="C32" s="394" t="s">
        <v>273</v>
      </c>
      <c r="D32" s="394" t="s">
        <v>274</v>
      </c>
      <c r="E32" s="394" t="s">
        <v>275</v>
      </c>
      <c r="F32" s="397" t="s">
        <v>276</v>
      </c>
      <c r="G32" s="398"/>
      <c r="H32" s="398"/>
      <c r="I32" s="398"/>
    </row>
    <row r="33" spans="2:9" ht="15.75" thickBot="1" x14ac:dyDescent="0.3">
      <c r="B33" s="392"/>
      <c r="C33" s="395"/>
      <c r="D33" s="395"/>
      <c r="E33" s="395"/>
      <c r="F33" s="399">
        <v>45473</v>
      </c>
      <c r="G33" s="398"/>
      <c r="H33" s="400"/>
      <c r="I33" s="311">
        <v>45291</v>
      </c>
    </row>
    <row r="34" spans="2:9" ht="30.75" thickBot="1" x14ac:dyDescent="0.3">
      <c r="B34" s="393"/>
      <c r="C34" s="396"/>
      <c r="D34" s="396"/>
      <c r="E34" s="396"/>
      <c r="F34" s="218" t="s">
        <v>277</v>
      </c>
      <c r="G34" s="220" t="s">
        <v>278</v>
      </c>
      <c r="H34" s="220" t="s">
        <v>59</v>
      </c>
      <c r="I34" s="217" t="s">
        <v>59</v>
      </c>
    </row>
    <row r="35" spans="2:9" x14ac:dyDescent="0.25">
      <c r="B35" s="221" t="s">
        <v>279</v>
      </c>
      <c r="C35" s="222"/>
      <c r="D35" s="223"/>
      <c r="E35" s="223"/>
      <c r="F35" s="224"/>
      <c r="G35" s="224"/>
      <c r="H35" s="224"/>
      <c r="I35" s="255"/>
    </row>
    <row r="36" spans="2:9" x14ac:dyDescent="0.25">
      <c r="B36" s="225" t="s">
        <v>280</v>
      </c>
      <c r="C36" s="222">
        <v>2024</v>
      </c>
      <c r="D36" s="226">
        <v>9.2499999999999999E-2</v>
      </c>
      <c r="E36" s="227" t="s">
        <v>281</v>
      </c>
      <c r="F36" s="224">
        <v>2134562</v>
      </c>
      <c r="G36" s="224" t="s">
        <v>5</v>
      </c>
      <c r="H36" s="224">
        <v>2134562</v>
      </c>
      <c r="I36" s="255">
        <v>1856920</v>
      </c>
    </row>
    <row r="37" spans="2:9" x14ac:dyDescent="0.25">
      <c r="B37" s="225" t="s">
        <v>282</v>
      </c>
      <c r="C37" s="222"/>
      <c r="D37" s="227"/>
      <c r="E37" s="227"/>
      <c r="F37" s="224">
        <v>-500</v>
      </c>
      <c r="G37" s="224" t="s">
        <v>5</v>
      </c>
      <c r="H37" s="224">
        <v>-500</v>
      </c>
      <c r="I37" s="255">
        <v>-1032</v>
      </c>
    </row>
    <row r="38" spans="2:9" x14ac:dyDescent="0.25">
      <c r="B38" s="225" t="s">
        <v>283</v>
      </c>
      <c r="C38" s="222"/>
      <c r="D38" s="227"/>
      <c r="E38" s="227"/>
      <c r="F38" s="228">
        <v>-914</v>
      </c>
      <c r="G38" s="228" t="s">
        <v>5</v>
      </c>
      <c r="H38" s="228">
        <v>-914</v>
      </c>
      <c r="I38" s="256">
        <v>-1795</v>
      </c>
    </row>
    <row r="39" spans="2:9" x14ac:dyDescent="0.25">
      <c r="B39" s="221" t="s">
        <v>284</v>
      </c>
      <c r="C39" s="222"/>
      <c r="D39" s="227"/>
      <c r="E39" s="227"/>
      <c r="F39" s="229">
        <v>2133148</v>
      </c>
      <c r="G39" s="229" t="s">
        <v>5</v>
      </c>
      <c r="H39" s="229">
        <v>2133148</v>
      </c>
      <c r="I39" s="257">
        <v>1854093</v>
      </c>
    </row>
    <row r="40" spans="2:9" x14ac:dyDescent="0.25">
      <c r="B40" s="225" t="s">
        <v>287</v>
      </c>
      <c r="C40" s="222">
        <v>2025</v>
      </c>
      <c r="D40" s="227" t="s">
        <v>288</v>
      </c>
      <c r="E40" s="227" t="s">
        <v>149</v>
      </c>
      <c r="F40" s="224">
        <v>318368</v>
      </c>
      <c r="G40" s="224"/>
      <c r="H40" s="224">
        <v>318368</v>
      </c>
      <c r="I40" s="255">
        <v>634988</v>
      </c>
    </row>
    <row r="41" spans="2:9" x14ac:dyDescent="0.25">
      <c r="B41" s="225" t="s">
        <v>289</v>
      </c>
      <c r="C41" s="222">
        <v>2024</v>
      </c>
      <c r="D41" s="227" t="s">
        <v>290</v>
      </c>
      <c r="E41" s="227" t="s">
        <v>149</v>
      </c>
      <c r="F41" s="224" t="s">
        <v>5</v>
      </c>
      <c r="G41" s="224" t="s">
        <v>5</v>
      </c>
      <c r="H41" s="224" t="s">
        <v>5</v>
      </c>
      <c r="I41" s="255">
        <v>271109</v>
      </c>
    </row>
    <row r="42" spans="2:9" x14ac:dyDescent="0.25">
      <c r="B42" s="225" t="s">
        <v>291</v>
      </c>
      <c r="C42" s="222">
        <v>2026</v>
      </c>
      <c r="D42" s="227" t="s">
        <v>292</v>
      </c>
      <c r="E42" s="227" t="s">
        <v>149</v>
      </c>
      <c r="F42" s="224">
        <v>1002173</v>
      </c>
      <c r="G42" s="224">
        <v>999303</v>
      </c>
      <c r="H42" s="224">
        <v>2001476</v>
      </c>
      <c r="I42" s="255">
        <v>1948110</v>
      </c>
    </row>
    <row r="43" spans="2:9" x14ac:dyDescent="0.25">
      <c r="B43" s="225" t="s">
        <v>293</v>
      </c>
      <c r="C43" s="222">
        <v>2027</v>
      </c>
      <c r="D43" s="227" t="s">
        <v>294</v>
      </c>
      <c r="E43" s="227" t="s">
        <v>149</v>
      </c>
      <c r="F43" s="224">
        <v>2010</v>
      </c>
      <c r="G43" s="224">
        <v>500000</v>
      </c>
      <c r="H43" s="224">
        <v>502010</v>
      </c>
      <c r="I43" s="255">
        <v>502212</v>
      </c>
    </row>
    <row r="44" spans="2:9" x14ac:dyDescent="0.25">
      <c r="B44" s="225" t="s">
        <v>295</v>
      </c>
      <c r="C44" s="222">
        <v>2029</v>
      </c>
      <c r="D44" s="223" t="s">
        <v>296</v>
      </c>
      <c r="E44" s="223" t="s">
        <v>149</v>
      </c>
      <c r="F44" s="224">
        <v>1272</v>
      </c>
      <c r="G44" s="224">
        <v>543318</v>
      </c>
      <c r="H44" s="224">
        <v>544590</v>
      </c>
      <c r="I44" s="255">
        <v>530068</v>
      </c>
    </row>
    <row r="45" spans="2:9" x14ac:dyDescent="0.25">
      <c r="B45" s="225" t="s">
        <v>297</v>
      </c>
      <c r="C45" s="222">
        <v>2026</v>
      </c>
      <c r="D45" s="227" t="s">
        <v>298</v>
      </c>
      <c r="E45" s="227" t="s">
        <v>149</v>
      </c>
      <c r="F45" s="224">
        <v>1029551</v>
      </c>
      <c r="G45" s="224">
        <v>1000000</v>
      </c>
      <c r="H45" s="224">
        <v>2029551</v>
      </c>
      <c r="I45" s="255">
        <v>2032032</v>
      </c>
    </row>
    <row r="46" spans="2:9" x14ac:dyDescent="0.25">
      <c r="B46" s="225" t="s">
        <v>553</v>
      </c>
      <c r="C46" s="222">
        <v>2029</v>
      </c>
      <c r="D46" s="227" t="s">
        <v>552</v>
      </c>
      <c r="E46" s="230" t="s">
        <v>149</v>
      </c>
      <c r="F46" s="224">
        <v>12573</v>
      </c>
      <c r="G46" s="224">
        <v>400000</v>
      </c>
      <c r="H46" s="224">
        <v>412573</v>
      </c>
      <c r="I46" s="255" t="s">
        <v>5</v>
      </c>
    </row>
    <row r="47" spans="2:9" x14ac:dyDescent="0.25">
      <c r="B47" s="225" t="s">
        <v>554</v>
      </c>
      <c r="C47" s="222">
        <v>2034</v>
      </c>
      <c r="D47" s="227" t="s">
        <v>586</v>
      </c>
      <c r="E47" s="230" t="s">
        <v>149</v>
      </c>
      <c r="F47" s="224">
        <v>27872</v>
      </c>
      <c r="G47" s="224">
        <v>1621383</v>
      </c>
      <c r="H47" s="224">
        <v>1649255</v>
      </c>
      <c r="I47" s="255" t="s">
        <v>5</v>
      </c>
    </row>
    <row r="48" spans="2:9" x14ac:dyDescent="0.25">
      <c r="B48" s="225" t="s">
        <v>299</v>
      </c>
      <c r="C48" s="222">
        <v>2031</v>
      </c>
      <c r="D48" s="227" t="s">
        <v>300</v>
      </c>
      <c r="E48" s="227" t="s">
        <v>149</v>
      </c>
      <c r="F48" s="224">
        <v>137889</v>
      </c>
      <c r="G48" s="224">
        <v>984543</v>
      </c>
      <c r="H48" s="224">
        <v>1122432</v>
      </c>
      <c r="I48" s="255">
        <v>1092701</v>
      </c>
    </row>
    <row r="49" spans="2:11" x14ac:dyDescent="0.25">
      <c r="B49" s="225" t="s">
        <v>301</v>
      </c>
      <c r="C49" s="222">
        <v>2027</v>
      </c>
      <c r="D49" s="227" t="s">
        <v>302</v>
      </c>
      <c r="E49" s="227" t="s">
        <v>149</v>
      </c>
      <c r="F49" s="224">
        <v>2809</v>
      </c>
      <c r="G49" s="224">
        <v>699999</v>
      </c>
      <c r="H49" s="224">
        <v>702808</v>
      </c>
      <c r="I49" s="255">
        <v>703092</v>
      </c>
    </row>
    <row r="50" spans="2:11" x14ac:dyDescent="0.25">
      <c r="B50" s="225" t="s">
        <v>303</v>
      </c>
      <c r="C50" s="222">
        <v>2029</v>
      </c>
      <c r="D50" s="223" t="s">
        <v>304</v>
      </c>
      <c r="E50" s="223" t="s">
        <v>149</v>
      </c>
      <c r="F50" s="224">
        <v>851</v>
      </c>
      <c r="G50" s="224">
        <v>323755</v>
      </c>
      <c r="H50" s="224">
        <v>324606</v>
      </c>
      <c r="I50" s="255">
        <v>315950</v>
      </c>
    </row>
    <row r="51" spans="2:11" x14ac:dyDescent="0.25">
      <c r="B51" s="225" t="s">
        <v>560</v>
      </c>
      <c r="C51" s="222"/>
      <c r="D51" s="227"/>
      <c r="E51" s="227"/>
      <c r="F51" s="224">
        <v>-3375</v>
      </c>
      <c r="G51" s="224">
        <v>-3643</v>
      </c>
      <c r="H51" s="224">
        <v>-7018</v>
      </c>
      <c r="I51" s="255">
        <v>-8692</v>
      </c>
    </row>
    <row r="52" spans="2:11" x14ac:dyDescent="0.25">
      <c r="B52" s="225" t="s">
        <v>305</v>
      </c>
      <c r="C52" s="222"/>
      <c r="D52" s="227"/>
      <c r="E52" s="230"/>
      <c r="F52" s="224">
        <v>-7259</v>
      </c>
      <c r="G52" s="224">
        <v>-83102</v>
      </c>
      <c r="H52" s="224">
        <v>-90361</v>
      </c>
      <c r="I52" s="255">
        <v>-44524</v>
      </c>
    </row>
    <row r="53" spans="2:11" x14ac:dyDescent="0.25">
      <c r="B53" s="221" t="s">
        <v>306</v>
      </c>
      <c r="C53" s="222"/>
      <c r="D53" s="227"/>
      <c r="E53" s="227"/>
      <c r="F53" s="231">
        <v>2524734</v>
      </c>
      <c r="G53" s="231">
        <v>6985556</v>
      </c>
      <c r="H53" s="231">
        <v>9510290</v>
      </c>
      <c r="I53" s="258">
        <v>7977046</v>
      </c>
    </row>
    <row r="54" spans="2:11" ht="15.75" thickBot="1" x14ac:dyDescent="0.3">
      <c r="B54" s="221" t="s">
        <v>307</v>
      </c>
      <c r="C54" s="232"/>
      <c r="D54" s="233"/>
      <c r="E54" s="234"/>
      <c r="F54" s="235">
        <v>4657882</v>
      </c>
      <c r="G54" s="235">
        <v>6985556</v>
      </c>
      <c r="H54" s="235">
        <v>11643438</v>
      </c>
      <c r="I54" s="235">
        <v>9831139</v>
      </c>
    </row>
    <row r="55" spans="2:11" ht="15.75" thickTop="1" x14ac:dyDescent="0.25"/>
    <row r="56" spans="2:11" hidden="1" x14ac:dyDescent="0.25">
      <c r="F56" s="112">
        <f>SUM(F36:F38)-F39</f>
        <v>0</v>
      </c>
      <c r="G56" s="112" t="e">
        <f>SUM(G36:G38)-G39</f>
        <v>#VALUE!</v>
      </c>
      <c r="H56" s="112">
        <f>SUM(H36:H38)-H39</f>
        <v>0</v>
      </c>
      <c r="I56" s="112">
        <f>SUM(I36:I38)-I39</f>
        <v>0</v>
      </c>
    </row>
    <row r="57" spans="2:11" hidden="1" x14ac:dyDescent="0.25">
      <c r="F57" s="112" t="e">
        <f>#REF!-#REF!</f>
        <v>#REF!</v>
      </c>
      <c r="G57" s="112" t="e">
        <f>#REF!-#REF!</f>
        <v>#REF!</v>
      </c>
      <c r="H57" s="112" t="e">
        <f>#REF!-#REF!</f>
        <v>#REF!</v>
      </c>
      <c r="I57" s="112" t="e">
        <f>#REF!-#REF!</f>
        <v>#REF!</v>
      </c>
    </row>
    <row r="58" spans="2:11" hidden="1" x14ac:dyDescent="0.25">
      <c r="F58" s="112" t="e">
        <f>F39+#REF!-#REF!</f>
        <v>#REF!</v>
      </c>
      <c r="G58" s="112" t="e">
        <f>G39+#REF!-#REF!</f>
        <v>#VALUE!</v>
      </c>
      <c r="H58" s="112" t="e">
        <f>H39+#REF!-#REF!</f>
        <v>#REF!</v>
      </c>
      <c r="I58" s="112" t="e">
        <f>I39+#REF!-#REF!</f>
        <v>#REF!</v>
      </c>
    </row>
    <row r="59" spans="2:11" hidden="1" x14ac:dyDescent="0.25">
      <c r="F59" s="112">
        <f>SUM(F40:F52)-F53</f>
        <v>0</v>
      </c>
      <c r="G59" s="112">
        <f>SUM(G40:G52)-G53</f>
        <v>0</v>
      </c>
      <c r="H59" s="112">
        <f>SUM(H40:H52)-H53</f>
        <v>0</v>
      </c>
      <c r="I59" s="112">
        <f>SUM(I40:I52)-I53</f>
        <v>0</v>
      </c>
    </row>
    <row r="60" spans="2:11" hidden="1" x14ac:dyDescent="0.25">
      <c r="F60" s="112" t="e">
        <f>F53+#REF!-F54</f>
        <v>#REF!</v>
      </c>
      <c r="G60" s="112" t="e">
        <f>G53+#REF!-G54</f>
        <v>#REF!</v>
      </c>
      <c r="H60" s="112" t="e">
        <f>H53+#REF!-H54</f>
        <v>#REF!</v>
      </c>
      <c r="I60" s="112" t="e">
        <f>I53+#REF!-I54</f>
        <v>#REF!</v>
      </c>
    </row>
    <row r="61" spans="2:11" hidden="1" x14ac:dyDescent="0.25">
      <c r="F61" s="112"/>
      <c r="G61" s="112"/>
      <c r="H61" s="112"/>
      <c r="I61" s="112"/>
    </row>
    <row r="62" spans="2:11" hidden="1" x14ac:dyDescent="0.25">
      <c r="F62" s="112"/>
      <c r="G62" s="112"/>
      <c r="H62" s="112"/>
      <c r="I62" s="112"/>
    </row>
    <row r="63" spans="2:11" x14ac:dyDescent="0.25">
      <c r="F63" s="112"/>
      <c r="G63" s="112"/>
      <c r="H63" s="112"/>
      <c r="I63" s="112"/>
    </row>
    <row r="64" spans="2:11" x14ac:dyDescent="0.25">
      <c r="H64" s="112"/>
      <c r="I64" s="112"/>
      <c r="J64" s="112"/>
      <c r="K64" s="112"/>
    </row>
    <row r="66" spans="2:24" x14ac:dyDescent="0.25">
      <c r="B66" s="205" t="s">
        <v>130</v>
      </c>
      <c r="C66" s="205"/>
      <c r="D66" s="205"/>
      <c r="E66" s="205"/>
    </row>
    <row r="67" spans="2:24" x14ac:dyDescent="0.25">
      <c r="B67" s="236" t="s">
        <v>131</v>
      </c>
      <c r="C67" s="237" t="s">
        <v>562</v>
      </c>
      <c r="D67" s="237" t="s">
        <v>548</v>
      </c>
      <c r="E67" s="237">
        <v>2023</v>
      </c>
      <c r="F67" s="237" t="s">
        <v>308</v>
      </c>
      <c r="G67" s="238" t="s">
        <v>309</v>
      </c>
      <c r="H67" s="219" t="s">
        <v>135</v>
      </c>
      <c r="I67" s="219">
        <v>2022</v>
      </c>
      <c r="J67" s="237" t="s">
        <v>310</v>
      </c>
      <c r="K67" s="238" t="s">
        <v>311</v>
      </c>
      <c r="L67" s="219" t="s">
        <v>138</v>
      </c>
      <c r="M67" s="219">
        <v>2021</v>
      </c>
      <c r="N67" s="237" t="s">
        <v>312</v>
      </c>
      <c r="O67" s="238" t="s">
        <v>313</v>
      </c>
      <c r="P67" s="219" t="s">
        <v>141</v>
      </c>
      <c r="Q67" s="219">
        <v>2020</v>
      </c>
      <c r="R67" s="219" t="s">
        <v>314</v>
      </c>
      <c r="S67" s="219" t="s">
        <v>315</v>
      </c>
      <c r="T67" s="219" t="s">
        <v>316</v>
      </c>
      <c r="U67" s="219">
        <v>2019</v>
      </c>
      <c r="V67" s="237" t="s">
        <v>317</v>
      </c>
      <c r="W67" s="238" t="s">
        <v>318</v>
      </c>
      <c r="X67" s="219" t="s">
        <v>147</v>
      </c>
    </row>
    <row r="68" spans="2:24" x14ac:dyDescent="0.25">
      <c r="B68" s="239" t="s">
        <v>284</v>
      </c>
      <c r="C68" s="240">
        <f>H39</f>
        <v>2133148</v>
      </c>
      <c r="D68" s="240">
        <v>1968173</v>
      </c>
      <c r="E68" s="240">
        <v>1854093</v>
      </c>
      <c r="F68" s="240">
        <v>3911139</v>
      </c>
      <c r="G68" s="240">
        <v>3662763</v>
      </c>
      <c r="H68" s="240">
        <v>3964520</v>
      </c>
      <c r="I68" s="240">
        <v>3959805</v>
      </c>
      <c r="J68" s="240">
        <v>5577738</v>
      </c>
      <c r="K68" s="240">
        <v>5259126</v>
      </c>
      <c r="L68" s="240">
        <v>4882483</v>
      </c>
      <c r="M68" s="240">
        <v>5601097</v>
      </c>
      <c r="N68" s="240">
        <v>5605439</v>
      </c>
      <c r="O68" s="240">
        <v>7523214</v>
      </c>
      <c r="P68" s="240">
        <v>8819606</v>
      </c>
      <c r="Q68" s="240">
        <v>7824706</v>
      </c>
      <c r="R68" s="240">
        <v>8728334</v>
      </c>
      <c r="S68" s="240">
        <v>8244066</v>
      </c>
      <c r="T68" s="240">
        <v>8048277</v>
      </c>
      <c r="U68" s="240">
        <v>6061097</v>
      </c>
      <c r="V68" s="240">
        <v>6436673</v>
      </c>
      <c r="W68" s="240">
        <v>5758854</v>
      </c>
      <c r="X68" s="240">
        <v>6022884</v>
      </c>
    </row>
    <row r="69" spans="2:24" x14ac:dyDescent="0.25">
      <c r="B69" s="239" t="s">
        <v>285</v>
      </c>
      <c r="C69" s="241">
        <v>0</v>
      </c>
      <c r="D69" s="241">
        <v>0</v>
      </c>
      <c r="E69" s="241">
        <v>0</v>
      </c>
      <c r="F69" s="241">
        <v>256</v>
      </c>
      <c r="G69" s="242">
        <v>765</v>
      </c>
      <c r="H69" s="242">
        <v>1572</v>
      </c>
      <c r="I69" s="242">
        <v>2380</v>
      </c>
      <c r="J69" s="242">
        <v>60768</v>
      </c>
      <c r="K69" s="242">
        <v>59550</v>
      </c>
      <c r="L69" s="242">
        <v>58650</v>
      </c>
      <c r="M69" s="242">
        <v>58077</v>
      </c>
      <c r="N69" s="242">
        <v>57876</v>
      </c>
      <c r="O69" s="242">
        <v>74684</v>
      </c>
      <c r="P69" s="242">
        <v>83897</v>
      </c>
      <c r="Q69" s="242">
        <v>90301</v>
      </c>
      <c r="R69" s="242">
        <v>217112</v>
      </c>
      <c r="S69" s="242">
        <v>1128089</v>
      </c>
      <c r="T69" s="242">
        <v>1123465</v>
      </c>
      <c r="U69" s="242">
        <v>1124729</v>
      </c>
      <c r="V69" s="242">
        <v>1098519</v>
      </c>
      <c r="W69" s="242">
        <v>1801315</v>
      </c>
      <c r="X69" s="242">
        <v>1786520</v>
      </c>
    </row>
    <row r="70" spans="2:24" x14ac:dyDescent="0.25">
      <c r="B70" s="239" t="s">
        <v>286</v>
      </c>
      <c r="C70" s="243">
        <f>C68+C69</f>
        <v>2133148</v>
      </c>
      <c r="D70" s="243">
        <v>1968173</v>
      </c>
      <c r="E70" s="243">
        <v>1854093</v>
      </c>
      <c r="F70" s="243">
        <v>3911395</v>
      </c>
      <c r="G70" s="243">
        <v>3663528</v>
      </c>
      <c r="H70" s="244">
        <v>3966092</v>
      </c>
      <c r="I70" s="244">
        <v>3962185</v>
      </c>
      <c r="J70" s="244">
        <v>5638506</v>
      </c>
      <c r="K70" s="244">
        <v>5318676</v>
      </c>
      <c r="L70" s="244">
        <v>4941133</v>
      </c>
      <c r="M70" s="244">
        <v>5659174</v>
      </c>
      <c r="N70" s="244">
        <v>5663315</v>
      </c>
      <c r="O70" s="244">
        <v>7597898</v>
      </c>
      <c r="P70" s="244">
        <v>8903503</v>
      </c>
      <c r="Q70" s="244">
        <v>7915007</v>
      </c>
      <c r="R70" s="244">
        <v>8945446</v>
      </c>
      <c r="S70" s="244">
        <v>9372155</v>
      </c>
      <c r="T70" s="244">
        <v>9171742</v>
      </c>
      <c r="U70" s="244">
        <v>7185826</v>
      </c>
      <c r="V70" s="244">
        <v>7535192</v>
      </c>
      <c r="W70" s="244">
        <v>7560169</v>
      </c>
      <c r="X70" s="244">
        <v>7809404</v>
      </c>
    </row>
    <row r="71" spans="2:24" x14ac:dyDescent="0.25">
      <c r="B71" s="225" t="s">
        <v>306</v>
      </c>
      <c r="C71" s="245">
        <f>H53</f>
        <v>9510290</v>
      </c>
      <c r="D71" s="245">
        <v>9657701</v>
      </c>
      <c r="E71" s="245">
        <v>7977046</v>
      </c>
      <c r="F71" s="245">
        <v>8194519</v>
      </c>
      <c r="G71" s="245">
        <v>8167518</v>
      </c>
      <c r="H71" s="240">
        <v>6313225</v>
      </c>
      <c r="I71" s="240">
        <v>6617313</v>
      </c>
      <c r="J71" s="240">
        <v>5730446</v>
      </c>
      <c r="K71" s="240">
        <v>5866169</v>
      </c>
      <c r="L71" s="240">
        <v>4908563</v>
      </c>
      <c r="M71" s="240">
        <v>5704789</v>
      </c>
      <c r="N71" s="240">
        <v>5687938</v>
      </c>
      <c r="O71" s="240">
        <v>5721090</v>
      </c>
      <c r="P71" s="240">
        <v>5762000</v>
      </c>
      <c r="Q71" s="240">
        <v>7105551</v>
      </c>
      <c r="R71" s="240">
        <v>7161295</v>
      </c>
      <c r="S71" s="240">
        <v>6490274</v>
      </c>
      <c r="T71" s="240">
        <v>6590832</v>
      </c>
      <c r="U71" s="240">
        <v>7590205</v>
      </c>
      <c r="V71" s="240">
        <v>7649115</v>
      </c>
      <c r="W71" s="240">
        <v>6316220</v>
      </c>
      <c r="X71" s="240">
        <v>6327413</v>
      </c>
    </row>
    <row r="72" spans="2:24" ht="15.75" thickBot="1" x14ac:dyDescent="0.3">
      <c r="B72" s="246" t="s">
        <v>307</v>
      </c>
      <c r="C72" s="247">
        <f>C71+C70</f>
        <v>11643438</v>
      </c>
      <c r="D72" s="247">
        <v>11625874</v>
      </c>
      <c r="E72" s="247">
        <v>9831139</v>
      </c>
      <c r="F72" s="247">
        <v>12105914</v>
      </c>
      <c r="G72" s="247">
        <v>11831046</v>
      </c>
      <c r="H72" s="248">
        <v>10279317</v>
      </c>
      <c r="I72" s="248">
        <v>10579498</v>
      </c>
      <c r="J72" s="248">
        <v>11368952</v>
      </c>
      <c r="K72" s="248">
        <v>11184845</v>
      </c>
      <c r="L72" s="248">
        <v>9849696</v>
      </c>
      <c r="M72" s="248">
        <v>11363963</v>
      </c>
      <c r="N72" s="248">
        <v>11351253</v>
      </c>
      <c r="O72" s="248">
        <v>13318988</v>
      </c>
      <c r="P72" s="248">
        <v>14665503</v>
      </c>
      <c r="Q72" s="248">
        <v>15020558</v>
      </c>
      <c r="R72" s="248">
        <v>16106741</v>
      </c>
      <c r="S72" s="248">
        <v>15862429</v>
      </c>
      <c r="T72" s="248">
        <v>15762574</v>
      </c>
      <c r="U72" s="248">
        <v>14776031</v>
      </c>
      <c r="V72" s="248">
        <v>15184307</v>
      </c>
      <c r="W72" s="248">
        <v>13876389</v>
      </c>
      <c r="X72" s="248">
        <v>14136817</v>
      </c>
    </row>
    <row r="73" spans="2:24" ht="15.75" thickTop="1" x14ac:dyDescent="0.25">
      <c r="G73" s="249"/>
      <c r="H73" s="249"/>
      <c r="I73" s="249"/>
      <c r="J73" s="249"/>
      <c r="K73" s="249"/>
      <c r="L73" s="249"/>
      <c r="M73" s="249"/>
      <c r="N73" s="249"/>
      <c r="O73" s="249"/>
      <c r="P73" s="249"/>
      <c r="Q73" s="249"/>
      <c r="R73" s="249"/>
      <c r="S73" s="249"/>
      <c r="T73" s="249"/>
      <c r="U73" s="249"/>
      <c r="V73" s="249"/>
      <c r="W73" s="249"/>
      <c r="X73" s="249"/>
    </row>
    <row r="74" spans="2:24" hidden="1" x14ac:dyDescent="0.25">
      <c r="F74" s="112">
        <v>0</v>
      </c>
      <c r="G74" s="112">
        <f t="shared" ref="G74:X74" si="5">SUM(G68:G69)-G70</f>
        <v>0</v>
      </c>
      <c r="H74" s="112">
        <f t="shared" si="5"/>
        <v>0</v>
      </c>
      <c r="I74" s="112">
        <f t="shared" si="5"/>
        <v>0</v>
      </c>
      <c r="J74" s="112">
        <f t="shared" si="5"/>
        <v>0</v>
      </c>
      <c r="K74" s="112">
        <f t="shared" si="5"/>
        <v>0</v>
      </c>
      <c r="L74" s="112">
        <f t="shared" si="5"/>
        <v>0</v>
      </c>
      <c r="M74" s="112">
        <f t="shared" si="5"/>
        <v>0</v>
      </c>
      <c r="N74" s="112">
        <f t="shared" si="5"/>
        <v>0</v>
      </c>
      <c r="O74" s="112">
        <f t="shared" si="5"/>
        <v>0</v>
      </c>
      <c r="P74" s="112">
        <f t="shared" si="5"/>
        <v>0</v>
      </c>
      <c r="Q74" s="112">
        <f t="shared" si="5"/>
        <v>0</v>
      </c>
      <c r="R74" s="112">
        <f t="shared" si="5"/>
        <v>0</v>
      </c>
      <c r="S74" s="112">
        <f t="shared" si="5"/>
        <v>0</v>
      </c>
      <c r="T74" s="112">
        <f t="shared" si="5"/>
        <v>0</v>
      </c>
      <c r="U74" s="112">
        <f t="shared" si="5"/>
        <v>0</v>
      </c>
      <c r="V74" s="112">
        <f t="shared" si="5"/>
        <v>0</v>
      </c>
      <c r="W74" s="112">
        <f t="shared" si="5"/>
        <v>0</v>
      </c>
      <c r="X74" s="112">
        <f t="shared" si="5"/>
        <v>0</v>
      </c>
    </row>
    <row r="75" spans="2:24" hidden="1" x14ac:dyDescent="0.25">
      <c r="F75" s="112">
        <v>0</v>
      </c>
      <c r="G75" s="112">
        <f t="shared" ref="G75:X75" si="6">G70+G71-G72</f>
        <v>0</v>
      </c>
      <c r="H75" s="112">
        <f t="shared" si="6"/>
        <v>0</v>
      </c>
      <c r="I75" s="112">
        <f t="shared" si="6"/>
        <v>0</v>
      </c>
      <c r="J75" s="112">
        <f t="shared" si="6"/>
        <v>0</v>
      </c>
      <c r="K75" s="112">
        <f t="shared" si="6"/>
        <v>0</v>
      </c>
      <c r="L75" s="112">
        <f t="shared" si="6"/>
        <v>0</v>
      </c>
      <c r="M75" s="112">
        <f t="shared" si="6"/>
        <v>0</v>
      </c>
      <c r="N75" s="112">
        <f t="shared" si="6"/>
        <v>0</v>
      </c>
      <c r="O75" s="112">
        <f t="shared" si="6"/>
        <v>0</v>
      </c>
      <c r="P75" s="112">
        <f t="shared" si="6"/>
        <v>0</v>
      </c>
      <c r="Q75" s="112">
        <f t="shared" si="6"/>
        <v>0</v>
      </c>
      <c r="R75" s="112">
        <f t="shared" si="6"/>
        <v>0</v>
      </c>
      <c r="S75" s="112">
        <f t="shared" si="6"/>
        <v>0</v>
      </c>
      <c r="T75" s="112">
        <f t="shared" si="6"/>
        <v>0</v>
      </c>
      <c r="U75" s="112">
        <f t="shared" si="6"/>
        <v>0</v>
      </c>
      <c r="V75" s="112">
        <f t="shared" si="6"/>
        <v>0</v>
      </c>
      <c r="W75" s="112">
        <f t="shared" si="6"/>
        <v>0</v>
      </c>
      <c r="X75" s="112">
        <f t="shared" si="6"/>
        <v>0</v>
      </c>
    </row>
    <row r="76" spans="2:24" x14ac:dyDescent="0.25">
      <c r="G76" s="249"/>
      <c r="H76" s="249"/>
      <c r="I76" s="249"/>
      <c r="J76" s="249"/>
      <c r="K76" s="249"/>
      <c r="L76" s="249"/>
      <c r="M76" s="249"/>
      <c r="N76" s="249"/>
      <c r="O76" s="249"/>
      <c r="P76" s="249"/>
      <c r="Q76" s="249"/>
      <c r="R76" s="249"/>
      <c r="S76" s="249"/>
      <c r="T76" s="249"/>
      <c r="U76" s="249"/>
      <c r="V76" s="249"/>
      <c r="W76" s="249"/>
      <c r="X76" s="249"/>
    </row>
    <row r="77" spans="2:24" x14ac:dyDescent="0.25">
      <c r="G77" s="249"/>
      <c r="H77" s="249"/>
      <c r="I77" s="249"/>
      <c r="J77" s="249"/>
      <c r="K77" s="249"/>
      <c r="L77" s="249"/>
      <c r="M77" s="249"/>
      <c r="N77" s="249"/>
      <c r="O77" s="249"/>
      <c r="P77" s="249"/>
      <c r="Q77" s="249"/>
      <c r="R77" s="249"/>
      <c r="S77" s="249"/>
      <c r="T77" s="249"/>
      <c r="U77" s="249"/>
      <c r="V77" s="249"/>
      <c r="W77" s="249"/>
      <c r="X77" s="249"/>
    </row>
    <row r="79" spans="2:24" x14ac:dyDescent="0.25">
      <c r="B79" s="205" t="s">
        <v>130</v>
      </c>
      <c r="C79" s="205"/>
      <c r="D79" s="205"/>
      <c r="E79" s="205"/>
      <c r="F79" s="205"/>
    </row>
    <row r="80" spans="2:24" x14ac:dyDescent="0.25">
      <c r="B80" s="236" t="s">
        <v>131</v>
      </c>
      <c r="C80" s="237" t="str">
        <f>C67</f>
        <v>1S24</v>
      </c>
      <c r="D80" s="237" t="s">
        <v>548</v>
      </c>
      <c r="E80" s="237">
        <v>2023</v>
      </c>
      <c r="F80" s="237" t="s">
        <v>308</v>
      </c>
      <c r="G80" s="238" t="s">
        <v>309</v>
      </c>
      <c r="H80" s="219" t="s">
        <v>135</v>
      </c>
      <c r="I80" s="219">
        <v>2022</v>
      </c>
      <c r="J80" s="237" t="s">
        <v>310</v>
      </c>
      <c r="K80" s="238" t="s">
        <v>311</v>
      </c>
      <c r="L80" s="219" t="s">
        <v>138</v>
      </c>
      <c r="M80" s="219">
        <v>2021</v>
      </c>
      <c r="N80" s="237" t="s">
        <v>312</v>
      </c>
      <c r="O80" s="238" t="s">
        <v>313</v>
      </c>
      <c r="P80" s="219" t="s">
        <v>141</v>
      </c>
      <c r="Q80" s="219">
        <v>2020</v>
      </c>
      <c r="R80" s="219" t="s">
        <v>314</v>
      </c>
      <c r="S80" s="219" t="s">
        <v>315</v>
      </c>
      <c r="T80" s="219" t="s">
        <v>316</v>
      </c>
      <c r="U80" s="219">
        <v>2019</v>
      </c>
      <c r="V80" s="237" t="s">
        <v>317</v>
      </c>
      <c r="W80" s="238" t="s">
        <v>318</v>
      </c>
      <c r="X80" s="219" t="s">
        <v>147</v>
      </c>
    </row>
    <row r="81" spans="2:24" x14ac:dyDescent="0.25">
      <c r="B81" s="239" t="s">
        <v>319</v>
      </c>
      <c r="C81" s="241">
        <f>C72</f>
        <v>11643438</v>
      </c>
      <c r="D81" s="241">
        <v>11625874</v>
      </c>
      <c r="E81" s="241">
        <v>9831139</v>
      </c>
      <c r="F81" s="241">
        <v>12105914</v>
      </c>
      <c r="G81" s="250">
        <v>11831046</v>
      </c>
      <c r="H81" s="251">
        <v>10279317</v>
      </c>
      <c r="I81" s="251">
        <v>10579498</v>
      </c>
      <c r="J81" s="251">
        <v>11368952</v>
      </c>
      <c r="K81" s="251">
        <v>11184845</v>
      </c>
      <c r="L81" s="251">
        <v>9849696</v>
      </c>
      <c r="M81" s="251">
        <v>11363963</v>
      </c>
      <c r="N81" s="251">
        <v>11351253</v>
      </c>
      <c r="O81" s="251">
        <v>13318988</v>
      </c>
      <c r="P81" s="251">
        <v>14665503</v>
      </c>
      <c r="Q81" s="251">
        <v>15020558</v>
      </c>
      <c r="R81" s="251">
        <v>16106741</v>
      </c>
      <c r="S81" s="251">
        <v>15862429</v>
      </c>
      <c r="T81" s="251">
        <v>15762574</v>
      </c>
      <c r="U81" s="251">
        <v>14776031</v>
      </c>
      <c r="V81" s="251">
        <v>15184307</v>
      </c>
      <c r="W81" s="251">
        <v>13876389</v>
      </c>
      <c r="X81" s="251">
        <v>14136817</v>
      </c>
    </row>
    <row r="82" spans="2:24" x14ac:dyDescent="0.25">
      <c r="B82" s="239" t="s">
        <v>320</v>
      </c>
      <c r="C82" s="250">
        <f>-'BP (Ativo)'!C12</f>
        <v>-1564249</v>
      </c>
      <c r="D82" s="250">
        <v>-2177401</v>
      </c>
      <c r="E82" s="250">
        <v>-1537482</v>
      </c>
      <c r="F82" s="250">
        <v>-2355680</v>
      </c>
      <c r="G82" s="250">
        <v>-2182819</v>
      </c>
      <c r="H82" s="251">
        <v>-1600178</v>
      </c>
      <c r="I82" s="251">
        <v>-1440661</v>
      </c>
      <c r="J82" s="251">
        <v>-1990712</v>
      </c>
      <c r="K82" s="251">
        <v>-1867781</v>
      </c>
      <c r="L82" s="251">
        <v>-1409372</v>
      </c>
      <c r="M82" s="251">
        <v>-825208</v>
      </c>
      <c r="N82" s="251">
        <v>-827784</v>
      </c>
      <c r="O82" s="251">
        <v>-2661596</v>
      </c>
      <c r="P82" s="251">
        <v>-3332411</v>
      </c>
      <c r="Q82" s="251">
        <v>-1680397</v>
      </c>
      <c r="R82" s="251">
        <v>-1420751</v>
      </c>
      <c r="S82" s="251">
        <v>-971314</v>
      </c>
      <c r="T82" s="251">
        <v>-795731</v>
      </c>
      <c r="U82" s="251">
        <v>-535757</v>
      </c>
      <c r="V82" s="251">
        <v>-694972</v>
      </c>
      <c r="W82" s="251">
        <v>-748540</v>
      </c>
      <c r="X82" s="251">
        <v>-796441</v>
      </c>
    </row>
    <row r="83" spans="2:24" x14ac:dyDescent="0.25">
      <c r="B83" s="239" t="s">
        <v>321</v>
      </c>
      <c r="C83" s="250">
        <f>-'BP (Ativo)'!C13-'BP (Ativo)'!C32</f>
        <v>-1431008</v>
      </c>
      <c r="D83" s="250">
        <v>-2376087</v>
      </c>
      <c r="E83" s="250">
        <v>-773982</v>
      </c>
      <c r="F83" s="250">
        <v>-1812392</v>
      </c>
      <c r="G83" s="250">
        <v>-1681785</v>
      </c>
      <c r="H83" s="251">
        <v>-1494006</v>
      </c>
      <c r="I83" s="251">
        <v>-1878177</v>
      </c>
      <c r="J83" s="251">
        <v>-2913708</v>
      </c>
      <c r="K83" s="251">
        <v>-1924612</v>
      </c>
      <c r="L83" s="251">
        <v>-1165861</v>
      </c>
      <c r="M83" s="251">
        <v>-2077818</v>
      </c>
      <c r="N83" s="251">
        <v>-3027479</v>
      </c>
      <c r="O83" s="251">
        <v>-4336479</v>
      </c>
      <c r="P83" s="251">
        <v>-2848692</v>
      </c>
      <c r="Q83" s="251">
        <v>-4125063</v>
      </c>
      <c r="R83" s="251">
        <v>-4098637</v>
      </c>
      <c r="S83" s="251">
        <v>-2733920</v>
      </c>
      <c r="T83" s="251">
        <v>-1644895</v>
      </c>
      <c r="U83" s="251">
        <v>-753681</v>
      </c>
      <c r="V83" s="251">
        <v>-875890</v>
      </c>
      <c r="W83" s="251">
        <v>-677966</v>
      </c>
      <c r="X83" s="251">
        <v>-592083</v>
      </c>
    </row>
    <row r="84" spans="2:24" x14ac:dyDescent="0.25">
      <c r="B84" s="239" t="s">
        <v>322</v>
      </c>
      <c r="C84" s="250">
        <v>-486625</v>
      </c>
      <c r="D84" s="250">
        <v>-410083</v>
      </c>
      <c r="E84" s="250">
        <v>-368051</v>
      </c>
      <c r="F84" s="250">
        <v>-336789</v>
      </c>
      <c r="G84" s="250">
        <v>-234362</v>
      </c>
      <c r="H84" s="251">
        <v>-599483</v>
      </c>
      <c r="I84" s="251">
        <v>-612208</v>
      </c>
      <c r="J84" s="251">
        <v>-721095</v>
      </c>
      <c r="K84" s="251">
        <v>-846524</v>
      </c>
      <c r="L84" s="251">
        <v>-756399</v>
      </c>
      <c r="M84" s="251">
        <v>-1213046</v>
      </c>
      <c r="N84" s="251">
        <v>-1302639</v>
      </c>
      <c r="O84" s="251">
        <v>-1290704</v>
      </c>
      <c r="P84" s="251">
        <v>-2761582</v>
      </c>
      <c r="Q84" s="251">
        <v>-2948930</v>
      </c>
      <c r="R84" s="251">
        <v>-3284142</v>
      </c>
      <c r="S84" s="251">
        <v>-3281491</v>
      </c>
      <c r="T84" s="251">
        <v>-3005184</v>
      </c>
      <c r="U84" s="251">
        <v>-1690944</v>
      </c>
      <c r="V84" s="251">
        <v>-1870106</v>
      </c>
      <c r="W84" s="251">
        <v>-1384270</v>
      </c>
      <c r="X84" s="251">
        <v>-965646</v>
      </c>
    </row>
    <row r="85" spans="2:24" ht="15.75" thickBot="1" x14ac:dyDescent="0.3">
      <c r="B85" s="246" t="s">
        <v>323</v>
      </c>
      <c r="C85" s="252">
        <f>SUM(C81:C84)</f>
        <v>8161556</v>
      </c>
      <c r="D85" s="252">
        <v>6662303</v>
      </c>
      <c r="E85" s="252">
        <v>7151624</v>
      </c>
      <c r="F85" s="252">
        <v>7601053</v>
      </c>
      <c r="G85" s="253">
        <v>7732080</v>
      </c>
      <c r="H85" s="253">
        <v>6585650</v>
      </c>
      <c r="I85" s="253">
        <v>6648452</v>
      </c>
      <c r="J85" s="253">
        <v>5743437</v>
      </c>
      <c r="K85" s="253">
        <v>6545928</v>
      </c>
      <c r="L85" s="253">
        <v>6518064</v>
      </c>
      <c r="M85" s="253">
        <v>7247891</v>
      </c>
      <c r="N85" s="253">
        <v>6193351</v>
      </c>
      <c r="O85" s="253">
        <v>5030209</v>
      </c>
      <c r="P85" s="253">
        <v>5722818</v>
      </c>
      <c r="Q85" s="253">
        <v>6266168</v>
      </c>
      <c r="R85" s="253">
        <v>7303211</v>
      </c>
      <c r="S85" s="253">
        <v>8875704</v>
      </c>
      <c r="T85" s="253">
        <v>10316764</v>
      </c>
      <c r="U85" s="253">
        <v>11795649</v>
      </c>
      <c r="V85" s="253">
        <v>11743339</v>
      </c>
      <c r="W85" s="253">
        <v>11065613</v>
      </c>
      <c r="X85" s="253">
        <v>11782647</v>
      </c>
    </row>
    <row r="86" spans="2:24" ht="9.75" customHeight="1" thickTop="1" x14ac:dyDescent="0.25"/>
    <row r="87" spans="2:24" x14ac:dyDescent="0.25">
      <c r="B87" s="254" t="s">
        <v>324</v>
      </c>
      <c r="C87" s="254"/>
      <c r="D87" s="254"/>
      <c r="E87" s="254"/>
    </row>
    <row r="88" spans="2:24" hidden="1" x14ac:dyDescent="0.25">
      <c r="C88" s="112">
        <f>SUM(F81:F84)-F85</f>
        <v>0</v>
      </c>
      <c r="D88" s="112"/>
      <c r="E88" s="112"/>
      <c r="F88" s="112">
        <f t="shared" ref="F88:W88" si="7">SUM(G81:G84)-G85</f>
        <v>0</v>
      </c>
      <c r="G88" s="112">
        <f t="shared" si="7"/>
        <v>0</v>
      </c>
      <c r="H88" s="112">
        <f t="shared" si="7"/>
        <v>0</v>
      </c>
      <c r="I88" s="112">
        <f t="shared" si="7"/>
        <v>0</v>
      </c>
      <c r="J88" s="112">
        <f t="shared" si="7"/>
        <v>0</v>
      </c>
      <c r="K88" s="112">
        <f t="shared" si="7"/>
        <v>0</v>
      </c>
      <c r="L88" s="112">
        <f t="shared" si="7"/>
        <v>0</v>
      </c>
      <c r="M88" s="112">
        <f t="shared" si="7"/>
        <v>0</v>
      </c>
      <c r="N88" s="112">
        <f t="shared" si="7"/>
        <v>0</v>
      </c>
      <c r="O88" s="112">
        <f t="shared" si="7"/>
        <v>0</v>
      </c>
      <c r="P88" s="112">
        <f t="shared" si="7"/>
        <v>0</v>
      </c>
      <c r="Q88" s="112">
        <f t="shared" si="7"/>
        <v>0</v>
      </c>
      <c r="R88" s="112">
        <f t="shared" si="7"/>
        <v>0</v>
      </c>
      <c r="S88" s="112">
        <f t="shared" si="7"/>
        <v>0</v>
      </c>
      <c r="T88" s="112">
        <f t="shared" si="7"/>
        <v>0</v>
      </c>
      <c r="U88" s="112">
        <f t="shared" si="7"/>
        <v>0</v>
      </c>
      <c r="V88" s="112">
        <f t="shared" si="7"/>
        <v>0</v>
      </c>
      <c r="W88" s="112">
        <f t="shared" si="7"/>
        <v>0</v>
      </c>
      <c r="X88" s="112" t="e">
        <f>SUM(#REF!)-#REF!</f>
        <v>#REF!</v>
      </c>
    </row>
    <row r="89" spans="2:24" hidden="1" x14ac:dyDescent="0.25">
      <c r="C89" s="112">
        <f>F81-F72</f>
        <v>0</v>
      </c>
      <c r="D89" s="112"/>
      <c r="E89" s="112"/>
      <c r="F89" s="112">
        <f t="shared" ref="F89:W89" si="8">G81-G72</f>
        <v>0</v>
      </c>
      <c r="G89" s="112">
        <f t="shared" si="8"/>
        <v>0</v>
      </c>
      <c r="H89" s="112">
        <f t="shared" si="8"/>
        <v>0</v>
      </c>
      <c r="I89" s="112">
        <f t="shared" si="8"/>
        <v>0</v>
      </c>
      <c r="J89" s="112">
        <f t="shared" si="8"/>
        <v>0</v>
      </c>
      <c r="K89" s="112">
        <f t="shared" si="8"/>
        <v>0</v>
      </c>
      <c r="L89" s="112">
        <f t="shared" si="8"/>
        <v>0</v>
      </c>
      <c r="M89" s="112">
        <f t="shared" si="8"/>
        <v>0</v>
      </c>
      <c r="N89" s="112">
        <f t="shared" si="8"/>
        <v>0</v>
      </c>
      <c r="O89" s="112">
        <f t="shared" si="8"/>
        <v>0</v>
      </c>
      <c r="P89" s="112">
        <f t="shared" si="8"/>
        <v>0</v>
      </c>
      <c r="Q89" s="112">
        <f t="shared" si="8"/>
        <v>0</v>
      </c>
      <c r="R89" s="112">
        <f t="shared" si="8"/>
        <v>0</v>
      </c>
      <c r="S89" s="112">
        <f t="shared" si="8"/>
        <v>0</v>
      </c>
      <c r="T89" s="112">
        <f t="shared" si="8"/>
        <v>0</v>
      </c>
      <c r="U89" s="112">
        <f t="shared" si="8"/>
        <v>0</v>
      </c>
      <c r="V89" s="112">
        <f t="shared" si="8"/>
        <v>0</v>
      </c>
      <c r="W89" s="112">
        <f t="shared" si="8"/>
        <v>0</v>
      </c>
      <c r="X89" s="112" t="e">
        <f>#REF!-#REF!</f>
        <v>#REF!</v>
      </c>
    </row>
    <row r="90" spans="2:24" hidden="1" x14ac:dyDescent="0.25">
      <c r="C90" s="112">
        <f>'BP (Ativo)'!F12+F82</f>
        <v>0</v>
      </c>
      <c r="D90" s="112"/>
      <c r="E90" s="112"/>
      <c r="F90" s="112">
        <f>'BP (Ativo)'!G12+G82</f>
        <v>0</v>
      </c>
      <c r="G90" s="112">
        <f>'BP (Ativo)'!H12+H82</f>
        <v>0</v>
      </c>
      <c r="H90" s="112">
        <f>'BP (Ativo)'!I12+I82</f>
        <v>0</v>
      </c>
      <c r="I90" s="112">
        <f>'BP (Ativo)'!J12+J82</f>
        <v>0</v>
      </c>
      <c r="J90" s="112">
        <f>'BP (Ativo)'!K12+K82</f>
        <v>0</v>
      </c>
      <c r="K90" s="112">
        <f>'BP (Ativo)'!L12+L82</f>
        <v>0</v>
      </c>
      <c r="L90" s="112">
        <f>'BP (Ativo)'!M12+M82</f>
        <v>0</v>
      </c>
      <c r="M90" s="112">
        <f>'BP (Ativo)'!N12+N82</f>
        <v>0</v>
      </c>
      <c r="N90" s="112">
        <f>'BP (Ativo)'!O12+O82</f>
        <v>0</v>
      </c>
      <c r="O90" s="112">
        <f>'BP (Ativo)'!P12+P82</f>
        <v>0</v>
      </c>
      <c r="P90" s="112">
        <f>'BP (Ativo)'!Q12+Q82</f>
        <v>0</v>
      </c>
      <c r="Q90" s="112">
        <f>'BP (Ativo)'!R12+R82</f>
        <v>0</v>
      </c>
      <c r="R90" s="112">
        <f>'BP (Ativo)'!S12+S82</f>
        <v>0</v>
      </c>
      <c r="S90" s="112">
        <f>'BP (Ativo)'!T12+T82</f>
        <v>0</v>
      </c>
      <c r="T90" s="112">
        <f>'BP (Ativo)'!U12+U82</f>
        <v>0</v>
      </c>
      <c r="U90" s="112">
        <f>'BP (Ativo)'!V12+V82</f>
        <v>0</v>
      </c>
      <c r="V90" s="112">
        <f>'BP (Ativo)'!W12+W82</f>
        <v>0</v>
      </c>
      <c r="W90" s="112" t="e">
        <f>'BP (Ativo)'!#REF!+X82</f>
        <v>#REF!</v>
      </c>
      <c r="X90" s="112" t="e">
        <f>'BP (Ativo)'!#REF!+#REF!</f>
        <v>#REF!</v>
      </c>
    </row>
    <row r="91" spans="2:24" hidden="1" x14ac:dyDescent="0.25">
      <c r="C91" s="112">
        <f>'BP (Ativo)'!F13+'BP (Ativo)'!F32+F83</f>
        <v>0</v>
      </c>
      <c r="D91" s="112"/>
      <c r="E91" s="112"/>
      <c r="F91" s="112">
        <f>'BP (Ativo)'!G13+'BP (Ativo)'!G32+G83</f>
        <v>0</v>
      </c>
      <c r="G91" s="112">
        <f>'BP (Ativo)'!H13+'BP (Ativo)'!H32+H83</f>
        <v>0</v>
      </c>
      <c r="H91" s="112">
        <f>'BP (Ativo)'!I13+'BP (Ativo)'!I32+I83</f>
        <v>0</v>
      </c>
      <c r="I91" s="112">
        <f>'BP (Ativo)'!J13+'BP (Ativo)'!J32+J83</f>
        <v>0</v>
      </c>
      <c r="J91" s="112">
        <f>'BP (Ativo)'!K13+'BP (Ativo)'!K32+K83</f>
        <v>0</v>
      </c>
      <c r="K91" s="112">
        <f>'BP (Ativo)'!L13+'BP (Ativo)'!L32+L83</f>
        <v>0</v>
      </c>
      <c r="L91" s="112">
        <f>'BP (Ativo)'!M13+'BP (Ativo)'!M32+M83</f>
        <v>0</v>
      </c>
      <c r="M91" s="112">
        <f>'BP (Ativo)'!N13+'BP (Ativo)'!N32+N83</f>
        <v>0</v>
      </c>
      <c r="N91" s="112">
        <f>'BP (Ativo)'!O13+'BP (Ativo)'!O32+O83</f>
        <v>0</v>
      </c>
      <c r="O91" s="112">
        <f>'BP (Ativo)'!P13+'BP (Ativo)'!P32+P83</f>
        <v>0</v>
      </c>
      <c r="P91" s="112">
        <f>'BP (Ativo)'!Q13+'BP (Ativo)'!Q32+Q83</f>
        <v>0</v>
      </c>
      <c r="Q91" s="112">
        <f>'BP (Ativo)'!R13+'BP (Ativo)'!R32+R83</f>
        <v>0</v>
      </c>
      <c r="R91" s="112">
        <f>'BP (Ativo)'!S13+'BP (Ativo)'!S32+S83</f>
        <v>0</v>
      </c>
      <c r="S91" s="112">
        <f>'BP (Ativo)'!T13+'BP (Ativo)'!T32+T83</f>
        <v>0</v>
      </c>
      <c r="T91" s="112">
        <f>'BP (Ativo)'!U13+'BP (Ativo)'!U32+U83</f>
        <v>0</v>
      </c>
      <c r="U91" s="112">
        <f>'BP (Ativo)'!V13+'BP (Ativo)'!V32+V83</f>
        <v>0</v>
      </c>
      <c r="V91" s="112">
        <f>'BP (Ativo)'!W13+'BP (Ativo)'!W32+W83</f>
        <v>0</v>
      </c>
      <c r="W91" s="112" t="e">
        <f>'BP (Ativo)'!#REF!+'BP (Ativo)'!#REF!+X83</f>
        <v>#REF!</v>
      </c>
      <c r="X91" s="112" t="e">
        <f>'BP (Ativo)'!#REF!+'BP (Ativo)'!#REF!+#REF!</f>
        <v>#REF!</v>
      </c>
    </row>
  </sheetData>
  <mergeCells count="7">
    <mergeCell ref="B4:I6"/>
    <mergeCell ref="B32:B34"/>
    <mergeCell ref="C32:C34"/>
    <mergeCell ref="D32:D34"/>
    <mergeCell ref="E32:E34"/>
    <mergeCell ref="F32:I32"/>
    <mergeCell ref="F33:H33"/>
  </mergeCells>
  <conditionalFormatting sqref="C12:I21 B35:I54 B12:B22">
    <cfRule type="expression" dxfId="30" priority="21">
      <formula>MOD(ROW(),2)=0</formula>
    </cfRule>
  </conditionalFormatting>
  <conditionalFormatting sqref="B68:B70 B72 C68:X72 B81:X85">
    <cfRule type="expression" dxfId="29" priority="14">
      <formula>MOD(ROW(),2)=0</formula>
    </cfRule>
  </conditionalFormatting>
  <conditionalFormatting sqref="B71">
    <cfRule type="expression" dxfId="28" priority="8">
      <formula>MOD(ROW(),2)=0</formula>
    </cfRule>
  </conditionalFormatting>
  <conditionalFormatting sqref="C23:I27 F56:I63 H64:K64 C88:X91">
    <cfRule type="cellIs" dxfId="27" priority="7" operator="notEqual">
      <formula>0</formula>
    </cfRule>
  </conditionalFormatting>
  <conditionalFormatting sqref="D28:I29 C30:I30 F74:X75">
    <cfRule type="cellIs" dxfId="26" priority="17" operator="notEqual">
      <formula>0</formula>
    </cfRule>
  </conditionalFormatting>
  <conditionalFormatting sqref="G73:X73">
    <cfRule type="cellIs" dxfId="25" priority="5" operator="notEqual">
      <formula>0</formula>
    </cfRule>
  </conditionalFormatting>
  <conditionalFormatting sqref="G76:X77">
    <cfRule type="cellIs" dxfId="24" priority="3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ignoredErrors>
    <ignoredError sqref="E30:H30 E23:H23" evalError="1"/>
  </ignoredError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Planilha16"/>
  <dimension ref="A7:G25"/>
  <sheetViews>
    <sheetView showGridLines="0" showRowColHeaders="0" topLeftCell="A4" zoomScale="85" zoomScaleNormal="85" workbookViewId="0"/>
  </sheetViews>
  <sheetFormatPr defaultColWidth="9.140625" defaultRowHeight="15" x14ac:dyDescent="0.25"/>
  <cols>
    <col min="1" max="1" width="13.7109375" style="43" customWidth="1"/>
    <col min="2" max="2" width="49.7109375" style="43" customWidth="1"/>
    <col min="3" max="4" width="22.28515625" style="43" customWidth="1"/>
    <col min="5" max="5" width="18.42578125" style="43" customWidth="1"/>
    <col min="6" max="7" width="9.140625" style="43" customWidth="1"/>
    <col min="8" max="16384" width="9.140625" style="43"/>
  </cols>
  <sheetData>
    <row r="7" spans="1:7" x14ac:dyDescent="0.25">
      <c r="A7"/>
      <c r="B7" s="390"/>
      <c r="C7" s="402"/>
      <c r="D7" s="402"/>
      <c r="E7" s="402"/>
      <c r="F7" s="402"/>
      <c r="G7" s="402"/>
    </row>
    <row r="8" spans="1:7" x14ac:dyDescent="0.25">
      <c r="A8"/>
      <c r="B8" s="402"/>
      <c r="C8" s="402"/>
      <c r="D8" s="402"/>
      <c r="E8" s="402"/>
      <c r="F8" s="402"/>
      <c r="G8" s="402"/>
    </row>
    <row r="9" spans="1:7" ht="21.6" customHeight="1" x14ac:dyDescent="0.25">
      <c r="B9" s="17" t="s">
        <v>325</v>
      </c>
      <c r="C9" s="5"/>
      <c r="D9" s="5"/>
    </row>
    <row r="10" spans="1:7" ht="17.45" customHeight="1" x14ac:dyDescent="0.25">
      <c r="B10" s="401" t="s">
        <v>326</v>
      </c>
      <c r="C10" s="47" t="s">
        <v>327</v>
      </c>
    </row>
    <row r="11" spans="1:7" ht="17.45" customHeight="1" x14ac:dyDescent="0.25">
      <c r="B11" s="401"/>
      <c r="C11" s="47">
        <v>2024</v>
      </c>
    </row>
    <row r="12" spans="1:7" ht="17.45" customHeight="1" x14ac:dyDescent="0.25">
      <c r="B12" s="39" t="s">
        <v>328</v>
      </c>
      <c r="C12" s="49">
        <v>57</v>
      </c>
    </row>
    <row r="13" spans="1:7" ht="17.45" customHeight="1" x14ac:dyDescent="0.25">
      <c r="B13" s="45"/>
      <c r="C13" s="50"/>
    </row>
    <row r="14" spans="1:7" ht="17.45" customHeight="1" x14ac:dyDescent="0.25">
      <c r="B14" s="39" t="s">
        <v>329</v>
      </c>
      <c r="C14" s="49">
        <v>105</v>
      </c>
    </row>
    <row r="15" spans="1:7" ht="17.45" customHeight="1" x14ac:dyDescent="0.25">
      <c r="B15" s="45"/>
      <c r="C15" s="50"/>
    </row>
    <row r="16" spans="1:7" ht="17.45" customHeight="1" x14ac:dyDescent="0.25">
      <c r="B16" s="39" t="s">
        <v>330</v>
      </c>
      <c r="C16" s="49">
        <v>1961</v>
      </c>
    </row>
    <row r="17" spans="2:4" ht="17.45" customHeight="1" x14ac:dyDescent="0.25">
      <c r="B17" s="45"/>
      <c r="C17" s="50"/>
    </row>
    <row r="18" spans="2:4" ht="17.45" customHeight="1" x14ac:dyDescent="0.25">
      <c r="B18" s="46" t="s">
        <v>331</v>
      </c>
      <c r="C18" s="48">
        <f>C19+C20</f>
        <v>323</v>
      </c>
    </row>
    <row r="19" spans="2:4" ht="17.45" customHeight="1" x14ac:dyDescent="0.25">
      <c r="B19" s="45" t="s">
        <v>332</v>
      </c>
      <c r="C19" s="109">
        <v>118</v>
      </c>
    </row>
    <row r="20" spans="2:4" ht="17.45" customHeight="1" x14ac:dyDescent="0.25">
      <c r="B20" s="45" t="s">
        <v>333</v>
      </c>
      <c r="C20" s="109">
        <v>205</v>
      </c>
    </row>
    <row r="21" spans="2:4" ht="17.45" customHeight="1" x14ac:dyDescent="0.25">
      <c r="B21" s="39" t="s">
        <v>11</v>
      </c>
      <c r="C21" s="48">
        <f>C18+C16+C14+C12</f>
        <v>2446</v>
      </c>
    </row>
    <row r="22" spans="2:4" x14ac:dyDescent="0.25">
      <c r="C22" s="44"/>
    </row>
    <row r="23" spans="2:4" x14ac:dyDescent="0.25">
      <c r="C23" s="44"/>
    </row>
    <row r="25" spans="2:4" ht="23.25" x14ac:dyDescent="0.35">
      <c r="B25" s="312"/>
      <c r="C25" s="312"/>
      <c r="D25" s="312"/>
    </row>
  </sheetData>
  <mergeCells count="2">
    <mergeCell ref="B10:B11"/>
    <mergeCell ref="B7:G8"/>
  </mergeCells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Planilha17"/>
  <dimension ref="B6:W55"/>
  <sheetViews>
    <sheetView showGridLines="0" showRowColHeaders="0" zoomScale="70" zoomScaleNormal="70" workbookViewId="0"/>
  </sheetViews>
  <sheetFormatPr defaultColWidth="9.140625" defaultRowHeight="15" x14ac:dyDescent="0.25"/>
  <cols>
    <col min="1" max="1" width="5.42578125" customWidth="1"/>
    <col min="2" max="2" width="62.28515625" customWidth="1"/>
    <col min="3" max="3" width="15" customWidth="1"/>
    <col min="4" max="4" width="17.42578125" customWidth="1"/>
    <col min="5" max="5" width="16.140625" customWidth="1"/>
    <col min="6" max="23" width="20.28515625" customWidth="1"/>
  </cols>
  <sheetData>
    <row r="6" spans="2:23" x14ac:dyDescent="0.25">
      <c r="B6" s="390"/>
      <c r="C6" s="390"/>
      <c r="D6" s="390"/>
      <c r="E6" s="390"/>
      <c r="F6" s="402"/>
      <c r="G6" s="402"/>
      <c r="H6" s="402"/>
    </row>
    <row r="7" spans="2:23" x14ac:dyDescent="0.25">
      <c r="B7" s="402"/>
      <c r="C7" s="402"/>
      <c r="D7" s="402"/>
      <c r="E7" s="402"/>
      <c r="F7" s="402"/>
      <c r="G7" s="402"/>
      <c r="H7" s="402"/>
    </row>
    <row r="8" spans="2:23" x14ac:dyDescent="0.25">
      <c r="B8" s="402"/>
      <c r="C8" s="402"/>
      <c r="D8" s="402"/>
      <c r="E8" s="402"/>
      <c r="F8" s="402"/>
      <c r="G8" s="402"/>
      <c r="H8" s="402"/>
    </row>
    <row r="9" spans="2:23" x14ac:dyDescent="0.25">
      <c r="B9" s="17" t="s">
        <v>130</v>
      </c>
      <c r="C9" s="17"/>
      <c r="D9" s="17"/>
      <c r="E9" s="17"/>
      <c r="F9" s="2"/>
      <c r="G9" s="2"/>
      <c r="H9" s="2"/>
    </row>
    <row r="10" spans="2:23" x14ac:dyDescent="0.25">
      <c r="B10" s="166"/>
      <c r="C10" s="162" t="s">
        <v>562</v>
      </c>
      <c r="D10" s="320" t="s">
        <v>548</v>
      </c>
      <c r="E10" s="320">
        <v>2023</v>
      </c>
      <c r="F10" s="320" t="s">
        <v>308</v>
      </c>
      <c r="G10" s="162" t="s">
        <v>309</v>
      </c>
      <c r="H10" s="69" t="s">
        <v>135</v>
      </c>
      <c r="I10" s="69">
        <v>2022</v>
      </c>
      <c r="J10" s="320" t="s">
        <v>310</v>
      </c>
      <c r="K10" s="162" t="s">
        <v>311</v>
      </c>
      <c r="L10" s="69" t="s">
        <v>138</v>
      </c>
      <c r="M10" s="69">
        <v>2021</v>
      </c>
      <c r="N10" s="320" t="s">
        <v>312</v>
      </c>
      <c r="O10" s="162" t="s">
        <v>313</v>
      </c>
      <c r="P10" s="69" t="s">
        <v>141</v>
      </c>
      <c r="Q10" s="69">
        <v>2020</v>
      </c>
      <c r="R10" s="69" t="s">
        <v>314</v>
      </c>
      <c r="S10" s="69" t="s">
        <v>315</v>
      </c>
      <c r="T10" s="69" t="s">
        <v>316</v>
      </c>
      <c r="U10" s="69">
        <v>2019</v>
      </c>
      <c r="V10" s="320" t="s">
        <v>317</v>
      </c>
      <c r="W10" s="162" t="s">
        <v>318</v>
      </c>
    </row>
    <row r="11" spans="2:23" x14ac:dyDescent="0.25">
      <c r="B11" s="41" t="s">
        <v>334</v>
      </c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</row>
    <row r="12" spans="2:23" x14ac:dyDescent="0.25">
      <c r="B12" s="52" t="s">
        <v>335</v>
      </c>
      <c r="C12" s="141">
        <v>1564249</v>
      </c>
      <c r="D12" s="141">
        <v>2177401</v>
      </c>
      <c r="E12" s="141">
        <v>1537482</v>
      </c>
      <c r="F12" s="141">
        <v>2355680</v>
      </c>
      <c r="G12" s="141">
        <v>2182819</v>
      </c>
      <c r="H12" s="141">
        <v>1600178</v>
      </c>
      <c r="I12" s="139">
        <v>1440661</v>
      </c>
      <c r="J12" s="139">
        <v>1990712</v>
      </c>
      <c r="K12" s="139">
        <v>1867781</v>
      </c>
      <c r="L12" s="139">
        <v>1409372</v>
      </c>
      <c r="M12" s="139">
        <v>825208</v>
      </c>
      <c r="N12" s="139">
        <v>827784</v>
      </c>
      <c r="O12" s="139">
        <v>2661596</v>
      </c>
      <c r="P12" s="139">
        <v>3332411</v>
      </c>
      <c r="Q12" s="139">
        <v>1680397</v>
      </c>
      <c r="R12" s="139">
        <v>1420751</v>
      </c>
      <c r="S12" s="139">
        <v>971314</v>
      </c>
      <c r="T12" s="139">
        <v>795731</v>
      </c>
      <c r="U12" s="139">
        <v>535757</v>
      </c>
      <c r="V12" s="139">
        <v>694972</v>
      </c>
      <c r="W12" s="139">
        <v>748540</v>
      </c>
    </row>
    <row r="13" spans="2:23" x14ac:dyDescent="0.25">
      <c r="B13" s="52" t="s">
        <v>336</v>
      </c>
      <c r="C13" s="141">
        <v>1353092</v>
      </c>
      <c r="D13" s="141">
        <v>2300277</v>
      </c>
      <c r="E13" s="141">
        <v>773982</v>
      </c>
      <c r="F13" s="141">
        <v>1812392</v>
      </c>
      <c r="G13" s="141">
        <v>1542983</v>
      </c>
      <c r="H13" s="141">
        <v>1356927</v>
      </c>
      <c r="I13" s="139">
        <v>1744546</v>
      </c>
      <c r="J13" s="139">
        <v>2778971</v>
      </c>
      <c r="K13" s="139">
        <v>1773720</v>
      </c>
      <c r="L13" s="139">
        <v>975334</v>
      </c>
      <c r="M13" s="139">
        <v>1724088</v>
      </c>
      <c r="N13" s="139">
        <v>2338481</v>
      </c>
      <c r="O13" s="139">
        <v>3468420</v>
      </c>
      <c r="P13" s="139">
        <v>2240626</v>
      </c>
      <c r="Q13" s="139">
        <v>3360270</v>
      </c>
      <c r="R13" s="139">
        <v>3689369</v>
      </c>
      <c r="S13" s="139">
        <v>2529359</v>
      </c>
      <c r="T13" s="139">
        <v>1511678</v>
      </c>
      <c r="U13" s="139">
        <v>740339</v>
      </c>
      <c r="V13" s="139">
        <v>863480</v>
      </c>
      <c r="W13" s="139">
        <v>665710</v>
      </c>
    </row>
    <row r="14" spans="2:23" ht="25.5" customHeight="1" x14ac:dyDescent="0.25">
      <c r="B14" s="52" t="s">
        <v>337</v>
      </c>
      <c r="C14" s="141">
        <v>5218594</v>
      </c>
      <c r="D14" s="141">
        <v>5225446</v>
      </c>
      <c r="E14" s="141">
        <v>5434358</v>
      </c>
      <c r="F14" s="141">
        <v>4992945</v>
      </c>
      <c r="G14" s="141">
        <v>4688726</v>
      </c>
      <c r="H14" s="141">
        <v>4911463</v>
      </c>
      <c r="I14" s="139">
        <v>4769431</v>
      </c>
      <c r="J14" s="139">
        <v>4641604</v>
      </c>
      <c r="K14" s="139">
        <v>4403850</v>
      </c>
      <c r="L14" s="139">
        <v>4796738</v>
      </c>
      <c r="M14" s="139">
        <v>4429883</v>
      </c>
      <c r="N14" s="139">
        <v>4989132</v>
      </c>
      <c r="O14" s="139">
        <v>4313779</v>
      </c>
      <c r="P14" s="139">
        <v>4317385</v>
      </c>
      <c r="Q14" s="139">
        <v>4373075</v>
      </c>
      <c r="R14" s="139">
        <v>4436196</v>
      </c>
      <c r="S14" s="139">
        <v>4173334</v>
      </c>
      <c r="T14" s="139">
        <v>4326756</v>
      </c>
      <c r="U14" s="139">
        <v>4523540</v>
      </c>
      <c r="V14" s="139">
        <v>4563661</v>
      </c>
      <c r="W14" s="139">
        <v>4498657</v>
      </c>
    </row>
    <row r="15" spans="2:23" x14ac:dyDescent="0.25">
      <c r="B15" s="52" t="s">
        <v>338</v>
      </c>
      <c r="C15" s="141">
        <v>811758</v>
      </c>
      <c r="D15" s="141">
        <v>926100</v>
      </c>
      <c r="E15" s="141">
        <v>814378</v>
      </c>
      <c r="F15" s="141">
        <v>834993</v>
      </c>
      <c r="G15" s="141">
        <v>777231</v>
      </c>
      <c r="H15" s="141">
        <v>1028762</v>
      </c>
      <c r="I15" s="139">
        <v>1055378</v>
      </c>
      <c r="J15" s="139">
        <v>1266468</v>
      </c>
      <c r="K15" s="139">
        <v>1622523</v>
      </c>
      <c r="L15" s="139">
        <v>1340337</v>
      </c>
      <c r="M15" s="139">
        <v>1504666</v>
      </c>
      <c r="N15" s="139">
        <v>959191</v>
      </c>
      <c r="O15" s="139">
        <v>446477</v>
      </c>
      <c r="P15" s="139">
        <v>296393</v>
      </c>
      <c r="Q15" s="139">
        <v>258588</v>
      </c>
      <c r="R15" s="139">
        <v>580989</v>
      </c>
      <c r="S15" s="139">
        <v>1268509</v>
      </c>
      <c r="T15" s="139">
        <v>1138980</v>
      </c>
      <c r="U15" s="139">
        <v>890726</v>
      </c>
      <c r="V15" s="139">
        <v>1123888</v>
      </c>
      <c r="W15" s="139">
        <v>1239932</v>
      </c>
    </row>
    <row r="16" spans="2:23" x14ac:dyDescent="0.25">
      <c r="B16" s="52" t="s">
        <v>339</v>
      </c>
      <c r="C16" s="141">
        <v>889247</v>
      </c>
      <c r="D16" s="141">
        <v>860465</v>
      </c>
      <c r="E16" s="141">
        <v>850071</v>
      </c>
      <c r="F16" s="141">
        <v>831592</v>
      </c>
      <c r="G16" s="141">
        <v>786793</v>
      </c>
      <c r="H16" s="141">
        <v>759414</v>
      </c>
      <c r="I16" s="139">
        <v>728404</v>
      </c>
      <c r="J16" s="139">
        <v>704291</v>
      </c>
      <c r="K16" s="139">
        <v>675325</v>
      </c>
      <c r="L16" s="139">
        <v>638210</v>
      </c>
      <c r="M16" s="139">
        <v>599692</v>
      </c>
      <c r="N16" s="139">
        <v>559885</v>
      </c>
      <c r="O16" s="139">
        <v>540876</v>
      </c>
      <c r="P16" s="139">
        <v>774507</v>
      </c>
      <c r="Q16" s="139">
        <v>737110</v>
      </c>
      <c r="R16" s="139">
        <v>246677</v>
      </c>
      <c r="S16" s="139">
        <v>176299</v>
      </c>
      <c r="T16" s="139">
        <v>166220</v>
      </c>
      <c r="U16" s="139">
        <v>576184</v>
      </c>
      <c r="V16" s="139">
        <v>179617</v>
      </c>
      <c r="W16" s="139">
        <v>131989</v>
      </c>
    </row>
    <row r="17" spans="2:23" x14ac:dyDescent="0.25">
      <c r="B17" s="52" t="s">
        <v>340</v>
      </c>
      <c r="C17" s="141">
        <v>542868</v>
      </c>
      <c r="D17" s="141">
        <v>527561</v>
      </c>
      <c r="E17" s="141">
        <v>634864</v>
      </c>
      <c r="F17" s="141">
        <v>802885</v>
      </c>
      <c r="G17" s="141">
        <v>1163202</v>
      </c>
      <c r="H17" s="141">
        <v>1529363</v>
      </c>
      <c r="I17" s="139">
        <v>1916701</v>
      </c>
      <c r="J17" s="139">
        <v>1499658</v>
      </c>
      <c r="K17" s="139">
        <v>1583804</v>
      </c>
      <c r="L17" s="139">
        <v>1901020</v>
      </c>
      <c r="M17" s="139">
        <v>1968979</v>
      </c>
      <c r="N17" s="139">
        <v>1939671</v>
      </c>
      <c r="O17" s="139">
        <v>1987881</v>
      </c>
      <c r="P17" s="139">
        <v>1821241</v>
      </c>
      <c r="Q17" s="139">
        <v>1850057</v>
      </c>
      <c r="R17" s="139">
        <v>2183014</v>
      </c>
      <c r="S17" s="139">
        <v>2117663</v>
      </c>
      <c r="T17" s="139">
        <v>102273</v>
      </c>
      <c r="U17" s="139">
        <v>98804</v>
      </c>
      <c r="V17" s="139">
        <v>98763</v>
      </c>
      <c r="W17" s="139">
        <v>99359</v>
      </c>
    </row>
    <row r="18" spans="2:23" x14ac:dyDescent="0.25">
      <c r="B18" s="52" t="s">
        <v>341</v>
      </c>
      <c r="C18" s="141">
        <v>7429</v>
      </c>
      <c r="D18" s="141">
        <v>248910</v>
      </c>
      <c r="E18" s="141">
        <v>411376</v>
      </c>
      <c r="F18" s="141">
        <v>683444</v>
      </c>
      <c r="G18" s="141">
        <v>835924</v>
      </c>
      <c r="H18" s="141">
        <v>778173</v>
      </c>
      <c r="I18" s="139">
        <v>775492</v>
      </c>
      <c r="J18" s="139">
        <v>798518</v>
      </c>
      <c r="K18" s="139">
        <v>969935</v>
      </c>
      <c r="L18" s="139">
        <v>465150</v>
      </c>
      <c r="M18" s="139">
        <v>698914</v>
      </c>
      <c r="N18" s="139">
        <v>709414</v>
      </c>
      <c r="O18" s="139">
        <v>375554</v>
      </c>
      <c r="P18" s="139">
        <v>482222</v>
      </c>
      <c r="Q18" s="139">
        <v>597610</v>
      </c>
      <c r="R18" s="139">
        <v>579082</v>
      </c>
      <c r="S18" s="139">
        <v>496822</v>
      </c>
      <c r="T18" s="139">
        <v>493381</v>
      </c>
      <c r="U18" s="139">
        <v>621302</v>
      </c>
      <c r="V18" s="139">
        <v>632581</v>
      </c>
      <c r="W18" s="139">
        <v>8143</v>
      </c>
    </row>
    <row r="19" spans="2:23" x14ac:dyDescent="0.25">
      <c r="B19" s="52" t="s">
        <v>342</v>
      </c>
      <c r="C19" s="141">
        <v>486625</v>
      </c>
      <c r="D19" s="141">
        <v>410083</v>
      </c>
      <c r="E19" s="141">
        <v>368051</v>
      </c>
      <c r="F19" s="141" t="s">
        <v>5</v>
      </c>
      <c r="G19" s="141" t="s">
        <v>5</v>
      </c>
      <c r="H19" s="141">
        <v>0</v>
      </c>
      <c r="I19" s="141"/>
      <c r="J19" s="139">
        <v>68609</v>
      </c>
      <c r="K19" s="139" t="s">
        <v>5</v>
      </c>
      <c r="L19" s="139" t="s">
        <v>5</v>
      </c>
      <c r="M19" s="139" t="s">
        <v>5</v>
      </c>
      <c r="N19" s="139">
        <v>152802</v>
      </c>
      <c r="O19" s="139">
        <v>160784</v>
      </c>
      <c r="P19" s="139">
        <v>512050</v>
      </c>
      <c r="Q19" s="139">
        <v>522579</v>
      </c>
      <c r="R19" s="139">
        <v>619119</v>
      </c>
      <c r="S19" s="139">
        <v>589555</v>
      </c>
      <c r="T19" s="139">
        <v>485006</v>
      </c>
      <c r="U19" s="139">
        <v>234766</v>
      </c>
      <c r="V19" s="139">
        <v>215996</v>
      </c>
      <c r="W19" s="139">
        <v>114916</v>
      </c>
    </row>
    <row r="20" spans="2:23" x14ac:dyDescent="0.25">
      <c r="B20" s="52" t="s">
        <v>343</v>
      </c>
      <c r="C20" s="141">
        <v>56091</v>
      </c>
      <c r="D20" s="141">
        <v>88035</v>
      </c>
      <c r="E20" s="141">
        <v>49914</v>
      </c>
      <c r="F20" s="141">
        <v>68837</v>
      </c>
      <c r="G20" s="141">
        <v>74121</v>
      </c>
      <c r="H20" s="141">
        <v>157487</v>
      </c>
      <c r="I20" s="139">
        <v>145908</v>
      </c>
      <c r="J20" s="139">
        <v>71217</v>
      </c>
      <c r="K20" s="139">
        <v>196364</v>
      </c>
      <c r="L20" s="139">
        <v>230240</v>
      </c>
      <c r="M20" s="139">
        <v>335189</v>
      </c>
      <c r="N20" s="139">
        <v>87301</v>
      </c>
      <c r="O20" s="139">
        <v>111295</v>
      </c>
      <c r="P20" s="139">
        <v>231673</v>
      </c>
      <c r="Q20" s="139">
        <v>188327</v>
      </c>
      <c r="R20" s="139">
        <v>84253</v>
      </c>
      <c r="S20" s="139">
        <v>97398</v>
      </c>
      <c r="T20" s="139">
        <v>186310</v>
      </c>
      <c r="U20" s="139">
        <v>185998</v>
      </c>
      <c r="V20" s="139">
        <v>41326</v>
      </c>
      <c r="W20" s="139">
        <v>45519</v>
      </c>
    </row>
    <row r="21" spans="2:23" x14ac:dyDescent="0.25">
      <c r="B21" s="52" t="s">
        <v>344</v>
      </c>
      <c r="C21" s="141">
        <v>257043</v>
      </c>
      <c r="D21" s="141">
        <v>266283</v>
      </c>
      <c r="E21" s="141">
        <v>260722</v>
      </c>
      <c r="F21" s="141">
        <v>239530</v>
      </c>
      <c r="G21" s="141">
        <v>232578</v>
      </c>
      <c r="H21" s="141">
        <v>225055</v>
      </c>
      <c r="I21" s="139">
        <v>207280</v>
      </c>
      <c r="J21" s="139">
        <v>201325</v>
      </c>
      <c r="K21" s="139">
        <v>198731</v>
      </c>
      <c r="L21" s="139">
        <v>247276</v>
      </c>
      <c r="M21" s="139">
        <v>233309</v>
      </c>
      <c r="N21" s="139">
        <v>237019</v>
      </c>
      <c r="O21" s="139">
        <v>197132</v>
      </c>
      <c r="P21" s="139">
        <v>177499</v>
      </c>
      <c r="Q21" s="139">
        <v>179401</v>
      </c>
      <c r="R21" s="139">
        <v>164967</v>
      </c>
      <c r="S21" s="139">
        <v>175521</v>
      </c>
      <c r="T21" s="139">
        <v>173724</v>
      </c>
      <c r="U21" s="139">
        <v>164971</v>
      </c>
      <c r="V21" s="139" t="s">
        <v>5</v>
      </c>
      <c r="W21" s="139" t="s">
        <v>5</v>
      </c>
    </row>
    <row r="22" spans="2:23" x14ac:dyDescent="0.25">
      <c r="B22" s="52" t="s">
        <v>345</v>
      </c>
      <c r="C22" s="141"/>
      <c r="D22" s="141">
        <v>0</v>
      </c>
      <c r="E22" s="141">
        <v>0</v>
      </c>
      <c r="F22" s="141">
        <v>195834</v>
      </c>
      <c r="G22" s="141">
        <v>124343</v>
      </c>
      <c r="H22" s="141">
        <v>97336</v>
      </c>
      <c r="I22" s="139">
        <v>0</v>
      </c>
      <c r="J22" s="139">
        <v>96514</v>
      </c>
      <c r="K22" s="139">
        <v>95588</v>
      </c>
      <c r="L22" s="139">
        <v>101961</v>
      </c>
      <c r="M22" s="139">
        <v>291896</v>
      </c>
      <c r="N22" s="139">
        <v>85400</v>
      </c>
      <c r="O22" s="139">
        <v>85846</v>
      </c>
      <c r="P22" s="139">
        <v>87836</v>
      </c>
      <c r="Q22" s="139">
        <v>88349</v>
      </c>
      <c r="R22" s="139">
        <v>86257</v>
      </c>
      <c r="S22" s="139">
        <v>89048</v>
      </c>
      <c r="T22" s="139">
        <v>96836</v>
      </c>
      <c r="U22" s="139">
        <v>96776</v>
      </c>
      <c r="V22" s="139">
        <v>96875</v>
      </c>
      <c r="W22" s="139">
        <v>96373</v>
      </c>
    </row>
    <row r="23" spans="2:23" x14ac:dyDescent="0.25">
      <c r="B23" s="52" t="s">
        <v>346</v>
      </c>
      <c r="C23" s="141">
        <v>718075</v>
      </c>
      <c r="D23" s="141">
        <v>657085</v>
      </c>
      <c r="E23" s="141">
        <v>676003</v>
      </c>
      <c r="F23" s="141">
        <v>692802</v>
      </c>
      <c r="G23" s="141">
        <v>769286</v>
      </c>
      <c r="H23" s="141">
        <v>686681</v>
      </c>
      <c r="I23" s="141">
        <v>681402</v>
      </c>
      <c r="J23" s="141">
        <v>588237</v>
      </c>
      <c r="K23" s="141">
        <v>563085</v>
      </c>
      <c r="L23" s="141">
        <v>428120</v>
      </c>
      <c r="M23" s="141">
        <v>337326</v>
      </c>
      <c r="N23" s="141">
        <v>370821</v>
      </c>
      <c r="O23" s="141">
        <v>544122</v>
      </c>
      <c r="P23" s="141">
        <v>392202</v>
      </c>
      <c r="Q23" s="141">
        <v>362326</v>
      </c>
      <c r="R23" s="141">
        <v>372766</v>
      </c>
      <c r="S23" s="141">
        <v>352706</v>
      </c>
      <c r="T23" s="141">
        <v>352859</v>
      </c>
      <c r="U23" s="141">
        <v>425452</v>
      </c>
      <c r="V23" s="141">
        <v>528313</v>
      </c>
      <c r="W23" s="141">
        <v>591487</v>
      </c>
    </row>
    <row r="24" spans="2:23" x14ac:dyDescent="0.25">
      <c r="B24" s="52"/>
      <c r="C24" s="142">
        <v>11905071</v>
      </c>
      <c r="D24" s="142">
        <v>13687646</v>
      </c>
      <c r="E24" s="142">
        <v>11811201</v>
      </c>
      <c r="F24" s="142">
        <v>13510934</v>
      </c>
      <c r="G24" s="142">
        <v>13178006</v>
      </c>
      <c r="H24" s="142">
        <v>13130839</v>
      </c>
      <c r="I24" s="142">
        <v>13465203</v>
      </c>
      <c r="J24" s="142">
        <v>14706124</v>
      </c>
      <c r="K24" s="142">
        <v>13950706</v>
      </c>
      <c r="L24" s="142">
        <v>12533758</v>
      </c>
      <c r="M24" s="142">
        <v>12949150</v>
      </c>
      <c r="N24" s="142">
        <v>13256901</v>
      </c>
      <c r="O24" s="142">
        <v>14893762</v>
      </c>
      <c r="P24" s="142">
        <v>14666045</v>
      </c>
      <c r="Q24" s="142">
        <v>14198089</v>
      </c>
      <c r="R24" s="142">
        <v>14463440</v>
      </c>
      <c r="S24" s="142">
        <v>13037528</v>
      </c>
      <c r="T24" s="142">
        <v>9829754</v>
      </c>
      <c r="U24" s="142">
        <v>9094615</v>
      </c>
      <c r="V24" s="142">
        <v>9039472</v>
      </c>
      <c r="W24" s="142">
        <v>8240625</v>
      </c>
    </row>
    <row r="25" spans="2:23" x14ac:dyDescent="0.25">
      <c r="B25" s="52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267"/>
      <c r="S25" s="143"/>
      <c r="T25" s="143"/>
      <c r="U25" s="143"/>
      <c r="V25" s="143"/>
      <c r="W25" s="143"/>
    </row>
    <row r="26" spans="2:23" x14ac:dyDescent="0.25">
      <c r="B26" s="52" t="s">
        <v>347</v>
      </c>
      <c r="C26" s="144">
        <v>1157394</v>
      </c>
      <c r="D26" s="144">
        <v>1118565</v>
      </c>
      <c r="E26" s="144">
        <v>57867</v>
      </c>
      <c r="F26" s="144">
        <v>408422</v>
      </c>
      <c r="G26" s="144">
        <v>362423</v>
      </c>
      <c r="H26" s="144">
        <v>7212</v>
      </c>
      <c r="I26" s="145">
        <v>0</v>
      </c>
      <c r="J26" s="145">
        <v>0</v>
      </c>
      <c r="K26" s="145">
        <v>0</v>
      </c>
      <c r="L26" s="145">
        <v>0</v>
      </c>
      <c r="M26" s="145">
        <v>0</v>
      </c>
      <c r="N26" s="145">
        <v>0</v>
      </c>
      <c r="O26" s="145">
        <v>0</v>
      </c>
      <c r="P26" s="145">
        <v>0</v>
      </c>
      <c r="Q26" s="145">
        <v>1258111</v>
      </c>
      <c r="R26" s="139">
        <v>987844</v>
      </c>
      <c r="S26" s="139">
        <v>1124088</v>
      </c>
      <c r="T26" s="139">
        <v>648951</v>
      </c>
      <c r="U26" s="145">
        <v>1258111</v>
      </c>
      <c r="V26" s="145">
        <v>1258111</v>
      </c>
      <c r="W26" s="145">
        <v>19376525</v>
      </c>
    </row>
    <row r="27" spans="2:23" x14ac:dyDescent="0.25">
      <c r="B27" s="52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</row>
    <row r="28" spans="2:23" ht="15.75" thickBot="1" x14ac:dyDescent="0.3">
      <c r="B28" s="94" t="s">
        <v>348</v>
      </c>
      <c r="C28" s="146">
        <v>13062465</v>
      </c>
      <c r="D28" s="146">
        <f>D26+D24</f>
        <v>14806211</v>
      </c>
      <c r="E28" s="146">
        <v>11869068</v>
      </c>
      <c r="F28" s="146">
        <v>13919356</v>
      </c>
      <c r="G28" s="146">
        <v>13540429</v>
      </c>
      <c r="H28" s="146">
        <v>13138051</v>
      </c>
      <c r="I28" s="146">
        <v>13465203</v>
      </c>
      <c r="J28" s="146">
        <v>14706124</v>
      </c>
      <c r="K28" s="146">
        <v>13950706</v>
      </c>
      <c r="L28" s="146">
        <v>12533758</v>
      </c>
      <c r="M28" s="146">
        <v>12949150</v>
      </c>
      <c r="N28" s="146">
        <v>13256901</v>
      </c>
      <c r="O28" s="146">
        <v>14893762</v>
      </c>
      <c r="P28" s="146">
        <v>14666045</v>
      </c>
      <c r="Q28" s="146">
        <v>15456200</v>
      </c>
      <c r="R28" s="146">
        <v>15451284</v>
      </c>
      <c r="S28" s="146">
        <v>14161616</v>
      </c>
      <c r="T28" s="146">
        <v>10478705</v>
      </c>
      <c r="U28" s="146">
        <v>10352726</v>
      </c>
      <c r="V28" s="146">
        <v>10297583</v>
      </c>
      <c r="W28" s="146">
        <v>27617150</v>
      </c>
    </row>
    <row r="29" spans="2:23" ht="15.75" thickTop="1" x14ac:dyDescent="0.25">
      <c r="B29" s="94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</row>
    <row r="30" spans="2:23" x14ac:dyDescent="0.25">
      <c r="B30" s="41" t="s">
        <v>349</v>
      </c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</row>
    <row r="31" spans="2:23" x14ac:dyDescent="0.25">
      <c r="B31" s="41" t="s">
        <v>543</v>
      </c>
      <c r="C31" s="139"/>
      <c r="D31" s="139"/>
      <c r="E31" s="139"/>
      <c r="F31" s="139"/>
      <c r="G31" s="139"/>
      <c r="H31" s="139"/>
      <c r="I31" s="139"/>
      <c r="J31" s="139"/>
      <c r="K31" s="139"/>
      <c r="L31" s="139"/>
      <c r="M31" s="139"/>
      <c r="N31" s="139"/>
      <c r="O31" s="139"/>
      <c r="P31" s="139"/>
      <c r="Q31" s="139"/>
      <c r="R31" s="139"/>
      <c r="S31" s="139"/>
      <c r="T31" s="139"/>
      <c r="U31" s="139"/>
      <c r="V31" s="139"/>
      <c r="W31" s="139"/>
    </row>
    <row r="32" spans="2:23" x14ac:dyDescent="0.25">
      <c r="B32" s="52" t="s">
        <v>336</v>
      </c>
      <c r="C32" s="141">
        <v>77916</v>
      </c>
      <c r="D32" s="141">
        <v>75810</v>
      </c>
      <c r="E32" s="204">
        <v>0</v>
      </c>
      <c r="F32" s="204">
        <v>0</v>
      </c>
      <c r="G32" s="139">
        <v>138802</v>
      </c>
      <c r="H32" s="139">
        <v>137079</v>
      </c>
      <c r="I32" s="139">
        <v>133631</v>
      </c>
      <c r="J32" s="139">
        <v>134737</v>
      </c>
      <c r="K32" s="139">
        <v>150892</v>
      </c>
      <c r="L32" s="139">
        <v>190527</v>
      </c>
      <c r="M32" s="139">
        <v>353730</v>
      </c>
      <c r="N32" s="139">
        <v>688998</v>
      </c>
      <c r="O32" s="139">
        <v>868059</v>
      </c>
      <c r="P32" s="139">
        <v>608066</v>
      </c>
      <c r="Q32" s="139">
        <v>764793</v>
      </c>
      <c r="R32" s="139">
        <v>409268</v>
      </c>
      <c r="S32" s="139">
        <v>204561</v>
      </c>
      <c r="T32" s="139">
        <v>133217</v>
      </c>
      <c r="U32" s="139">
        <v>13342</v>
      </c>
      <c r="V32" s="139">
        <v>12410</v>
      </c>
      <c r="W32" s="139">
        <v>12256</v>
      </c>
    </row>
    <row r="33" spans="2:23" ht="24" customHeight="1" x14ac:dyDescent="0.25">
      <c r="B33" s="52" t="s">
        <v>337</v>
      </c>
      <c r="C33" s="139">
        <v>41142</v>
      </c>
      <c r="D33" s="139">
        <v>42451</v>
      </c>
      <c r="E33" s="139">
        <v>42804</v>
      </c>
      <c r="F33" s="139">
        <v>44523</v>
      </c>
      <c r="G33" s="139">
        <v>46665</v>
      </c>
      <c r="H33" s="139">
        <v>45827</v>
      </c>
      <c r="I33" s="139">
        <v>43449</v>
      </c>
      <c r="J33" s="139">
        <v>45858</v>
      </c>
      <c r="K33" s="139">
        <v>48158</v>
      </c>
      <c r="L33" s="139">
        <v>49760</v>
      </c>
      <c r="M33" s="139">
        <v>51540</v>
      </c>
      <c r="N33" s="139">
        <v>70027</v>
      </c>
      <c r="O33" s="139">
        <v>107234</v>
      </c>
      <c r="P33" s="139">
        <v>134070</v>
      </c>
      <c r="Q33" s="139">
        <v>160969</v>
      </c>
      <c r="R33" s="139">
        <v>162794</v>
      </c>
      <c r="S33" s="139">
        <v>74151</v>
      </c>
      <c r="T33" s="139">
        <v>74622</v>
      </c>
      <c r="U33" s="139">
        <v>77065</v>
      </c>
      <c r="V33" s="139">
        <v>80496</v>
      </c>
      <c r="W33" s="139">
        <v>84808</v>
      </c>
    </row>
    <row r="34" spans="2:23" x14ac:dyDescent="0.25">
      <c r="B34" s="51" t="s">
        <v>340</v>
      </c>
      <c r="C34" s="139">
        <v>1353058</v>
      </c>
      <c r="D34" s="139">
        <v>1325410</v>
      </c>
      <c r="E34" s="139">
        <v>1318547</v>
      </c>
      <c r="F34" s="139">
        <v>1263355</v>
      </c>
      <c r="G34" s="139">
        <v>1213329</v>
      </c>
      <c r="H34" s="139">
        <v>1401982</v>
      </c>
      <c r="I34" s="139">
        <v>1357846</v>
      </c>
      <c r="J34" s="139">
        <v>1672230</v>
      </c>
      <c r="K34" s="139">
        <v>1758675</v>
      </c>
      <c r="L34" s="139">
        <v>1735313</v>
      </c>
      <c r="M34" s="139">
        <v>1997285</v>
      </c>
      <c r="N34" s="139">
        <v>2416545</v>
      </c>
      <c r="O34" s="139">
        <v>2704563</v>
      </c>
      <c r="P34" s="139">
        <v>3087870</v>
      </c>
      <c r="Q34" s="139">
        <v>3442071</v>
      </c>
      <c r="R34" s="139">
        <v>3691045</v>
      </c>
      <c r="S34" s="139">
        <v>4237507</v>
      </c>
      <c r="T34" s="139">
        <v>6393879</v>
      </c>
      <c r="U34" s="139">
        <v>6349352</v>
      </c>
      <c r="V34" s="139">
        <v>6307667</v>
      </c>
      <c r="W34" s="139">
        <v>6235934</v>
      </c>
    </row>
    <row r="35" spans="2:23" x14ac:dyDescent="0.25">
      <c r="B35" s="51" t="s">
        <v>341</v>
      </c>
      <c r="C35" s="139">
        <v>564557</v>
      </c>
      <c r="D35" s="139">
        <v>294536</v>
      </c>
      <c r="E35" s="139">
        <v>445339</v>
      </c>
      <c r="F35" s="139">
        <v>222747</v>
      </c>
      <c r="G35" s="139">
        <v>148505</v>
      </c>
      <c r="H35" s="139">
        <v>144086</v>
      </c>
      <c r="I35" s="139">
        <v>172718</v>
      </c>
      <c r="J35" s="139">
        <v>294216</v>
      </c>
      <c r="K35" s="139">
        <v>301000</v>
      </c>
      <c r="L35" s="139">
        <v>327478</v>
      </c>
      <c r="M35" s="139">
        <v>315405</v>
      </c>
      <c r="N35" s="139">
        <v>286386</v>
      </c>
      <c r="O35" s="139">
        <v>302510</v>
      </c>
      <c r="P35" s="139">
        <v>271266</v>
      </c>
      <c r="Q35" s="139">
        <v>346523</v>
      </c>
      <c r="R35" s="139">
        <v>195622</v>
      </c>
      <c r="S35" s="139">
        <v>195622</v>
      </c>
      <c r="T35" s="139">
        <v>193307</v>
      </c>
      <c r="U35" s="139">
        <v>227913</v>
      </c>
      <c r="V35" s="139">
        <v>2103</v>
      </c>
      <c r="W35" s="139">
        <v>2102</v>
      </c>
    </row>
    <row r="36" spans="2:23" x14ac:dyDescent="0.25">
      <c r="B36" s="52" t="s">
        <v>350</v>
      </c>
      <c r="C36" s="139">
        <v>2725604</v>
      </c>
      <c r="D36" s="139">
        <v>3017520</v>
      </c>
      <c r="E36" s="139">
        <v>3044738</v>
      </c>
      <c r="F36" s="139">
        <v>2963432</v>
      </c>
      <c r="G36" s="139">
        <v>2982457</v>
      </c>
      <c r="H36" s="139">
        <v>3131998</v>
      </c>
      <c r="I36" s="139">
        <v>3119522</v>
      </c>
      <c r="J36" s="139">
        <v>3116860</v>
      </c>
      <c r="K36" s="139">
        <v>3072772</v>
      </c>
      <c r="L36" s="139">
        <v>2524598</v>
      </c>
      <c r="M36" s="139">
        <v>2464734</v>
      </c>
      <c r="N36" s="139">
        <v>2435285</v>
      </c>
      <c r="O36" s="139">
        <v>2464775</v>
      </c>
      <c r="P36" s="139">
        <v>2544690</v>
      </c>
      <c r="Q36" s="139">
        <v>2452860</v>
      </c>
      <c r="R36" s="139">
        <v>2505092</v>
      </c>
      <c r="S36" s="139">
        <v>2537820</v>
      </c>
      <c r="T36" s="139">
        <v>2644927</v>
      </c>
      <c r="U36" s="139">
        <v>2429789</v>
      </c>
      <c r="V36" s="139">
        <v>1958047</v>
      </c>
      <c r="W36" s="139">
        <v>1898417</v>
      </c>
    </row>
    <row r="37" spans="2:23" x14ac:dyDescent="0.25">
      <c r="B37" s="52" t="s">
        <v>351</v>
      </c>
      <c r="C37" s="139"/>
      <c r="D37" s="139" t="s">
        <v>5</v>
      </c>
      <c r="E37" s="139">
        <v>0</v>
      </c>
      <c r="F37" s="139" t="s">
        <v>5</v>
      </c>
      <c r="G37" s="139"/>
      <c r="H37" s="139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</row>
    <row r="38" spans="2:23" x14ac:dyDescent="0.25">
      <c r="B38" s="52" t="s">
        <v>352</v>
      </c>
      <c r="C38" s="139">
        <v>1276268</v>
      </c>
      <c r="D38" s="139">
        <v>1267276</v>
      </c>
      <c r="E38" s="139">
        <v>1243012</v>
      </c>
      <c r="F38" s="139">
        <v>1231984</v>
      </c>
      <c r="G38" s="139">
        <v>1214964</v>
      </c>
      <c r="H38" s="139">
        <v>1205273</v>
      </c>
      <c r="I38" s="139">
        <v>1206595</v>
      </c>
      <c r="J38" s="139">
        <v>1246581</v>
      </c>
      <c r="K38" s="139">
        <v>1219483</v>
      </c>
      <c r="L38" s="139">
        <v>1195649</v>
      </c>
      <c r="M38" s="139">
        <v>1155169</v>
      </c>
      <c r="N38" s="139">
        <v>1150331</v>
      </c>
      <c r="O38" s="139">
        <v>1111042</v>
      </c>
      <c r="P38" s="139">
        <v>1106468</v>
      </c>
      <c r="Q38" s="139">
        <v>1055797</v>
      </c>
      <c r="R38" s="139">
        <v>1088828</v>
      </c>
      <c r="S38" s="139">
        <v>1170254</v>
      </c>
      <c r="T38" s="139">
        <v>1137584</v>
      </c>
      <c r="U38" s="139">
        <v>2540239</v>
      </c>
      <c r="V38" s="139">
        <v>2534074</v>
      </c>
      <c r="W38" s="139">
        <v>2487900</v>
      </c>
    </row>
    <row r="39" spans="2:23" x14ac:dyDescent="0.25">
      <c r="B39" s="52" t="s">
        <v>353</v>
      </c>
      <c r="C39" s="139"/>
      <c r="D39" s="139" t="s">
        <v>5</v>
      </c>
      <c r="E39" s="139">
        <v>0</v>
      </c>
      <c r="F39" s="139">
        <v>378531</v>
      </c>
      <c r="G39" s="139">
        <v>339382</v>
      </c>
      <c r="H39" s="139">
        <v>709067</v>
      </c>
      <c r="I39" s="139">
        <v>702734</v>
      </c>
      <c r="J39" s="139">
        <v>744179</v>
      </c>
      <c r="K39" s="139">
        <v>975023</v>
      </c>
      <c r="L39" s="139">
        <v>866223</v>
      </c>
      <c r="M39" s="139">
        <v>1219176</v>
      </c>
      <c r="N39" s="139">
        <v>1149837</v>
      </c>
      <c r="O39" s="139">
        <v>1188952</v>
      </c>
      <c r="P39" s="139">
        <v>2249532</v>
      </c>
      <c r="Q39" s="139">
        <v>2426351</v>
      </c>
      <c r="R39" s="139">
        <v>2665023</v>
      </c>
      <c r="S39" s="139">
        <v>2691936</v>
      </c>
      <c r="T39" s="139">
        <v>2520178</v>
      </c>
      <c r="U39" s="139">
        <v>1456178</v>
      </c>
      <c r="V39" s="139">
        <v>1654110</v>
      </c>
      <c r="W39" s="139">
        <v>1269354</v>
      </c>
    </row>
    <row r="40" spans="2:23" x14ac:dyDescent="0.25">
      <c r="B40" s="52" t="s">
        <v>354</v>
      </c>
      <c r="C40" s="139">
        <v>45798</v>
      </c>
      <c r="D40" s="139">
        <v>13366</v>
      </c>
      <c r="E40" s="139">
        <v>13366</v>
      </c>
      <c r="F40" s="139">
        <v>13366</v>
      </c>
      <c r="G40" s="139">
        <v>13366</v>
      </c>
      <c r="H40" s="139">
        <v>13366</v>
      </c>
      <c r="I40" s="139">
        <v>13366</v>
      </c>
      <c r="J40" s="139">
        <v>13366</v>
      </c>
      <c r="K40" s="139">
        <v>13366</v>
      </c>
      <c r="L40" s="139">
        <v>13366</v>
      </c>
      <c r="M40" s="139">
        <v>13366</v>
      </c>
      <c r="N40" s="139">
        <v>13366</v>
      </c>
      <c r="O40" s="139">
        <v>13366</v>
      </c>
      <c r="P40" s="139">
        <v>12573</v>
      </c>
      <c r="Q40" s="139">
        <v>11614</v>
      </c>
      <c r="R40" s="139">
        <v>131794</v>
      </c>
      <c r="S40" s="139">
        <v>120258</v>
      </c>
      <c r="T40" s="139">
        <v>117144</v>
      </c>
      <c r="U40" s="139">
        <v>115202</v>
      </c>
      <c r="V40" s="139">
        <v>237763</v>
      </c>
      <c r="W40" s="139">
        <v>238428</v>
      </c>
    </row>
    <row r="41" spans="2:23" x14ac:dyDescent="0.25">
      <c r="B41" s="52" t="s">
        <v>338</v>
      </c>
      <c r="C41" s="139">
        <v>6141972</v>
      </c>
      <c r="D41" s="139">
        <v>5903547</v>
      </c>
      <c r="E41" s="139">
        <v>5726352</v>
      </c>
      <c r="F41" s="139">
        <v>5621191</v>
      </c>
      <c r="G41" s="139">
        <v>5444226</v>
      </c>
      <c r="H41" s="139">
        <v>5155986</v>
      </c>
      <c r="I41" s="139">
        <v>4937187</v>
      </c>
      <c r="J41" s="139">
        <v>4375746</v>
      </c>
      <c r="K41" s="139">
        <v>4262681</v>
      </c>
      <c r="L41" s="139">
        <v>4591689</v>
      </c>
      <c r="M41" s="139">
        <v>4969400</v>
      </c>
      <c r="N41" s="139">
        <v>5168068</v>
      </c>
      <c r="O41" s="139">
        <v>4468750</v>
      </c>
      <c r="P41" s="139">
        <v>4010432</v>
      </c>
      <c r="Q41" s="139">
        <v>3798734</v>
      </c>
      <c r="R41" s="139">
        <v>4470210</v>
      </c>
      <c r="S41" s="139">
        <v>4728409</v>
      </c>
      <c r="T41" s="139">
        <v>4730622</v>
      </c>
      <c r="U41" s="139">
        <v>3758680</v>
      </c>
      <c r="V41" s="139">
        <v>4991510</v>
      </c>
      <c r="W41" s="139">
        <v>4909814</v>
      </c>
    </row>
    <row r="42" spans="2:23" x14ac:dyDescent="0.25">
      <c r="B42" s="52" t="s">
        <v>339</v>
      </c>
      <c r="C42" s="139">
        <v>8353321</v>
      </c>
      <c r="D42" s="139">
        <v>7872906</v>
      </c>
      <c r="E42" s="139">
        <v>7675592</v>
      </c>
      <c r="F42" s="139">
        <v>7410163</v>
      </c>
      <c r="G42" s="139">
        <v>6947683</v>
      </c>
      <c r="H42" s="139">
        <v>6369437</v>
      </c>
      <c r="I42" s="139">
        <v>5976420</v>
      </c>
      <c r="J42" s="139">
        <v>6568231</v>
      </c>
      <c r="K42" s="139">
        <v>6223570</v>
      </c>
      <c r="L42" s="139">
        <v>5949114</v>
      </c>
      <c r="M42" s="139">
        <v>5780316</v>
      </c>
      <c r="N42" s="139">
        <v>5216007</v>
      </c>
      <c r="O42" s="139">
        <v>5000117</v>
      </c>
      <c r="P42" s="139">
        <v>4368011</v>
      </c>
      <c r="Q42" s="139">
        <v>4242962</v>
      </c>
      <c r="R42" s="139">
        <v>2528645</v>
      </c>
      <c r="S42" s="139">
        <v>2429995</v>
      </c>
      <c r="T42" s="139">
        <v>1930945</v>
      </c>
      <c r="U42" s="139">
        <v>3307369</v>
      </c>
      <c r="V42" s="139">
        <v>1724453</v>
      </c>
      <c r="W42" s="139">
        <v>1692113</v>
      </c>
    </row>
    <row r="43" spans="2:23" x14ac:dyDescent="0.25">
      <c r="B43" s="52" t="s">
        <v>346</v>
      </c>
      <c r="C43" s="139">
        <v>118847</v>
      </c>
      <c r="D43" s="139">
        <v>95551</v>
      </c>
      <c r="E43" s="139">
        <v>86467</v>
      </c>
      <c r="F43" s="139">
        <v>99776</v>
      </c>
      <c r="G43" s="139">
        <v>77146</v>
      </c>
      <c r="H43" s="139">
        <v>79805</v>
      </c>
      <c r="I43" s="139">
        <v>76161</v>
      </c>
      <c r="J43" s="139">
        <v>72479</v>
      </c>
      <c r="K43" s="139">
        <v>80985</v>
      </c>
      <c r="L43" s="139">
        <v>72985</v>
      </c>
      <c r="M43" s="139">
        <v>72432</v>
      </c>
      <c r="N43" s="139">
        <v>76321</v>
      </c>
      <c r="O43" s="139">
        <v>74770</v>
      </c>
      <c r="P43" s="139">
        <v>73472</v>
      </c>
      <c r="Q43" s="139">
        <v>79768</v>
      </c>
      <c r="R43" s="139">
        <v>97539</v>
      </c>
      <c r="S43" s="139">
        <v>121437</v>
      </c>
      <c r="T43" s="139">
        <v>166495</v>
      </c>
      <c r="U43" s="139">
        <v>147058</v>
      </c>
      <c r="V43" s="139">
        <v>181115</v>
      </c>
      <c r="W43" s="139">
        <v>193573</v>
      </c>
    </row>
    <row r="44" spans="2:23" x14ac:dyDescent="0.25">
      <c r="B44" s="97" t="s">
        <v>355</v>
      </c>
      <c r="C44" s="139">
        <v>3376358</v>
      </c>
      <c r="D44" s="139">
        <v>3461948</v>
      </c>
      <c r="E44" s="139">
        <v>4631720</v>
      </c>
      <c r="F44" s="139">
        <v>4797643</v>
      </c>
      <c r="G44" s="139">
        <v>4821254</v>
      </c>
      <c r="H44" s="139">
        <v>5123692</v>
      </c>
      <c r="I44" s="139">
        <v>5105724</v>
      </c>
      <c r="J44" s="139">
        <v>5373517</v>
      </c>
      <c r="K44" s="139">
        <v>5404996</v>
      </c>
      <c r="L44" s="139">
        <v>5404409</v>
      </c>
      <c r="M44" s="139">
        <v>5105926</v>
      </c>
      <c r="N44" s="139">
        <v>5613565</v>
      </c>
      <c r="O44" s="139">
        <v>5331408</v>
      </c>
      <c r="P44" s="139">
        <v>5502497</v>
      </c>
      <c r="Q44" s="139">
        <v>5415293</v>
      </c>
      <c r="R44" s="139">
        <v>5504974</v>
      </c>
      <c r="S44" s="139">
        <v>5455180</v>
      </c>
      <c r="T44" s="139">
        <v>5453989</v>
      </c>
      <c r="U44" s="139">
        <v>5399391</v>
      </c>
      <c r="V44" s="139">
        <v>5584559</v>
      </c>
      <c r="W44" s="139">
        <v>5286346</v>
      </c>
    </row>
    <row r="45" spans="2:23" x14ac:dyDescent="0.25">
      <c r="B45" s="97" t="s">
        <v>356</v>
      </c>
      <c r="C45" s="139">
        <v>3422825</v>
      </c>
      <c r="D45" s="139">
        <v>3351219</v>
      </c>
      <c r="E45" s="139">
        <v>3256226</v>
      </c>
      <c r="F45" s="139">
        <v>2958286</v>
      </c>
      <c r="G45" s="139">
        <v>2608064</v>
      </c>
      <c r="H45" s="139">
        <v>2408039</v>
      </c>
      <c r="I45" s="139">
        <v>2409351</v>
      </c>
      <c r="J45" s="139">
        <v>2404840</v>
      </c>
      <c r="K45" s="139">
        <v>2372711</v>
      </c>
      <c r="L45" s="139">
        <v>2389491</v>
      </c>
      <c r="M45" s="139">
        <v>2419269</v>
      </c>
      <c r="N45" s="139">
        <v>2390117</v>
      </c>
      <c r="O45" s="139">
        <v>2392881</v>
      </c>
      <c r="P45" s="139">
        <v>2391080</v>
      </c>
      <c r="Q45" s="139">
        <v>2407143</v>
      </c>
      <c r="R45" s="139">
        <v>2404412</v>
      </c>
      <c r="S45" s="139">
        <v>2422073</v>
      </c>
      <c r="T45" s="139">
        <v>2429566</v>
      </c>
      <c r="U45" s="139">
        <v>2450125</v>
      </c>
      <c r="V45" s="139">
        <v>2560405</v>
      </c>
      <c r="W45" s="139">
        <v>2603120</v>
      </c>
    </row>
    <row r="46" spans="2:23" x14ac:dyDescent="0.25">
      <c r="B46" s="97" t="s">
        <v>357</v>
      </c>
      <c r="C46" s="139">
        <v>15790780</v>
      </c>
      <c r="D46" s="139">
        <v>15528596</v>
      </c>
      <c r="E46" s="139">
        <v>15248980</v>
      </c>
      <c r="F46" s="139">
        <v>14864580</v>
      </c>
      <c r="G46" s="139">
        <v>14620636</v>
      </c>
      <c r="H46" s="139">
        <v>14644219</v>
      </c>
      <c r="I46" s="139">
        <v>14621853</v>
      </c>
      <c r="J46" s="139">
        <v>13523670</v>
      </c>
      <c r="K46" s="139">
        <v>13185048</v>
      </c>
      <c r="L46" s="139">
        <v>13011817</v>
      </c>
      <c r="M46" s="139">
        <v>12953317</v>
      </c>
      <c r="N46" s="139">
        <v>12947049</v>
      </c>
      <c r="O46" s="139">
        <v>12728720</v>
      </c>
      <c r="P46" s="139">
        <v>11782273</v>
      </c>
      <c r="Q46" s="139">
        <v>11809928</v>
      </c>
      <c r="R46" s="139">
        <v>11789311</v>
      </c>
      <c r="S46" s="139">
        <v>11741863</v>
      </c>
      <c r="T46" s="139">
        <v>11717025</v>
      </c>
      <c r="U46" s="139">
        <v>11624471</v>
      </c>
      <c r="V46" s="139">
        <v>11638906</v>
      </c>
      <c r="W46" s="139">
        <v>10718616</v>
      </c>
    </row>
    <row r="47" spans="2:23" x14ac:dyDescent="0.25">
      <c r="B47" s="97" t="s">
        <v>358</v>
      </c>
      <c r="C47" s="139">
        <v>389862</v>
      </c>
      <c r="D47" s="139">
        <v>385683</v>
      </c>
      <c r="E47" s="139">
        <v>397869</v>
      </c>
      <c r="F47" s="139">
        <v>376497</v>
      </c>
      <c r="G47" s="139">
        <v>386156</v>
      </c>
      <c r="H47" s="139">
        <v>377453</v>
      </c>
      <c r="I47" s="139">
        <v>329077</v>
      </c>
      <c r="J47" s="139">
        <v>221407</v>
      </c>
      <c r="K47" s="139">
        <v>201320</v>
      </c>
      <c r="L47" s="139">
        <v>211215</v>
      </c>
      <c r="M47" s="139">
        <v>225593</v>
      </c>
      <c r="N47" s="139">
        <v>237863</v>
      </c>
      <c r="O47" s="139">
        <v>188345</v>
      </c>
      <c r="P47" s="139">
        <v>202709</v>
      </c>
      <c r="Q47" s="139">
        <v>212074</v>
      </c>
      <c r="R47" s="139">
        <v>230316</v>
      </c>
      <c r="S47" s="139">
        <v>242458</v>
      </c>
      <c r="T47" s="139">
        <v>259282</v>
      </c>
      <c r="U47" s="139">
        <v>276824</v>
      </c>
      <c r="V47" s="139">
        <v>297471</v>
      </c>
      <c r="W47" s="139">
        <v>306052</v>
      </c>
    </row>
    <row r="48" spans="2:23" x14ac:dyDescent="0.25">
      <c r="B48" s="97" t="s">
        <v>359</v>
      </c>
      <c r="C48" s="147">
        <v>43678308</v>
      </c>
      <c r="D48" s="147">
        <f>SUM(D32:D47)</f>
        <v>42635819</v>
      </c>
      <c r="E48" s="147">
        <v>43131012</v>
      </c>
      <c r="F48" s="147">
        <v>42246074</v>
      </c>
      <c r="G48" s="147">
        <v>41002635</v>
      </c>
      <c r="H48" s="147">
        <v>40947309</v>
      </c>
      <c r="I48" s="147">
        <v>40205634</v>
      </c>
      <c r="J48" s="147">
        <v>39807917</v>
      </c>
      <c r="K48" s="147">
        <v>39270680</v>
      </c>
      <c r="L48" s="147">
        <v>38533634</v>
      </c>
      <c r="M48" s="147">
        <v>39096658</v>
      </c>
      <c r="N48" s="147">
        <v>39859765</v>
      </c>
      <c r="O48" s="147">
        <v>38945492</v>
      </c>
      <c r="P48" s="147">
        <v>38345009</v>
      </c>
      <c r="Q48" s="147">
        <v>38626880</v>
      </c>
      <c r="R48" s="147">
        <v>37874873</v>
      </c>
      <c r="S48" s="147">
        <v>38373524</v>
      </c>
      <c r="T48" s="147">
        <v>39902782</v>
      </c>
      <c r="U48" s="147">
        <v>40172998</v>
      </c>
      <c r="V48" s="147">
        <v>39765089</v>
      </c>
      <c r="W48" s="147">
        <v>37938833</v>
      </c>
    </row>
    <row r="49" spans="2:23" ht="15.75" thickBot="1" x14ac:dyDescent="0.3">
      <c r="B49" s="97" t="s">
        <v>360</v>
      </c>
      <c r="C49" s="146">
        <v>56740773</v>
      </c>
      <c r="D49" s="146">
        <f>D48+D28</f>
        <v>57442030</v>
      </c>
      <c r="E49" s="146">
        <v>55000080</v>
      </c>
      <c r="F49" s="146">
        <v>56165430</v>
      </c>
      <c r="G49" s="146">
        <v>54543064</v>
      </c>
      <c r="H49" s="146">
        <v>54085360</v>
      </c>
      <c r="I49" s="146">
        <v>53670837</v>
      </c>
      <c r="J49" s="146">
        <v>54514041</v>
      </c>
      <c r="K49" s="146">
        <v>53221386</v>
      </c>
      <c r="L49" s="146">
        <v>51067392</v>
      </c>
      <c r="M49" s="146">
        <v>52045808</v>
      </c>
      <c r="N49" s="146">
        <v>53116666</v>
      </c>
      <c r="O49" s="146">
        <v>53839254</v>
      </c>
      <c r="P49" s="146">
        <v>53011054</v>
      </c>
      <c r="Q49" s="146">
        <v>54083080</v>
      </c>
      <c r="R49" s="146">
        <v>53326157</v>
      </c>
      <c r="S49" s="146">
        <v>52535140</v>
      </c>
      <c r="T49" s="146">
        <v>50381487</v>
      </c>
      <c r="U49" s="146">
        <v>50525724</v>
      </c>
      <c r="V49" s="146">
        <v>50062672</v>
      </c>
      <c r="W49" s="146">
        <v>65555983</v>
      </c>
    </row>
    <row r="50" spans="2:23" ht="15.75" thickTop="1" x14ac:dyDescent="0.25">
      <c r="E50" s="112">
        <f>SUM(E12:E23)-E24</f>
        <v>0</v>
      </c>
      <c r="F50" s="112">
        <f t="shared" ref="F50:W50" si="0">SUM(F12:F23)-F24</f>
        <v>0</v>
      </c>
      <c r="G50" s="112">
        <f t="shared" si="0"/>
        <v>0</v>
      </c>
      <c r="H50" s="112">
        <f t="shared" si="0"/>
        <v>0</v>
      </c>
      <c r="I50" s="112">
        <f t="shared" si="0"/>
        <v>0</v>
      </c>
      <c r="J50" s="112">
        <f t="shared" si="0"/>
        <v>0</v>
      </c>
      <c r="K50" s="112">
        <f t="shared" si="0"/>
        <v>0</v>
      </c>
      <c r="L50" s="112">
        <f t="shared" si="0"/>
        <v>0</v>
      </c>
      <c r="M50" s="112">
        <f t="shared" si="0"/>
        <v>0</v>
      </c>
      <c r="N50" s="112">
        <f t="shared" si="0"/>
        <v>0</v>
      </c>
      <c r="O50" s="112">
        <f t="shared" si="0"/>
        <v>0</v>
      </c>
      <c r="P50" s="112">
        <f t="shared" si="0"/>
        <v>0</v>
      </c>
      <c r="Q50" s="112">
        <f t="shared" si="0"/>
        <v>0</v>
      </c>
      <c r="R50" s="112">
        <f t="shared" si="0"/>
        <v>0</v>
      </c>
      <c r="S50" s="112">
        <f t="shared" si="0"/>
        <v>0</v>
      </c>
      <c r="T50" s="112">
        <f t="shared" si="0"/>
        <v>0</v>
      </c>
      <c r="U50" s="112">
        <f t="shared" si="0"/>
        <v>0</v>
      </c>
      <c r="V50" s="112">
        <f t="shared" si="0"/>
        <v>0</v>
      </c>
      <c r="W50" s="112">
        <f t="shared" si="0"/>
        <v>0</v>
      </c>
    </row>
    <row r="51" spans="2:23" x14ac:dyDescent="0.25">
      <c r="E51" s="112">
        <f>E24+E26-E28</f>
        <v>0</v>
      </c>
      <c r="F51" s="112">
        <f t="shared" ref="F51:W51" si="1">F24+F26-F28</f>
        <v>0</v>
      </c>
      <c r="G51" s="112">
        <f t="shared" si="1"/>
        <v>0</v>
      </c>
      <c r="H51" s="112">
        <f t="shared" si="1"/>
        <v>0</v>
      </c>
      <c r="I51" s="112">
        <f t="shared" si="1"/>
        <v>0</v>
      </c>
      <c r="J51" s="112">
        <f t="shared" si="1"/>
        <v>0</v>
      </c>
      <c r="K51" s="112">
        <f t="shared" si="1"/>
        <v>0</v>
      </c>
      <c r="L51" s="112">
        <f t="shared" si="1"/>
        <v>0</v>
      </c>
      <c r="M51" s="112">
        <f t="shared" si="1"/>
        <v>0</v>
      </c>
      <c r="N51" s="112">
        <f t="shared" si="1"/>
        <v>0</v>
      </c>
      <c r="O51" s="112">
        <f t="shared" si="1"/>
        <v>0</v>
      </c>
      <c r="P51" s="112">
        <f t="shared" si="1"/>
        <v>0</v>
      </c>
      <c r="Q51" s="112">
        <f t="shared" si="1"/>
        <v>0</v>
      </c>
      <c r="R51" s="112">
        <f t="shared" si="1"/>
        <v>0</v>
      </c>
      <c r="S51" s="112">
        <f t="shared" si="1"/>
        <v>0</v>
      </c>
      <c r="T51" s="112">
        <f t="shared" si="1"/>
        <v>0</v>
      </c>
      <c r="U51" s="112">
        <f t="shared" si="1"/>
        <v>0</v>
      </c>
      <c r="V51" s="112">
        <f t="shared" si="1"/>
        <v>0</v>
      </c>
      <c r="W51" s="112">
        <f t="shared" si="1"/>
        <v>0</v>
      </c>
    </row>
    <row r="52" spans="2:23" x14ac:dyDescent="0.25">
      <c r="E52" s="112">
        <f>SUM(E32:E47)-E48</f>
        <v>0</v>
      </c>
      <c r="F52" s="112">
        <f t="shared" ref="F52:W52" si="2">SUM(F32:F47)-F48</f>
        <v>0</v>
      </c>
      <c r="G52" s="112">
        <f t="shared" si="2"/>
        <v>0</v>
      </c>
      <c r="H52" s="112">
        <f t="shared" si="2"/>
        <v>0</v>
      </c>
      <c r="I52" s="112">
        <f t="shared" si="2"/>
        <v>0</v>
      </c>
      <c r="J52" s="112">
        <f t="shared" si="2"/>
        <v>0</v>
      </c>
      <c r="K52" s="112">
        <f t="shared" si="2"/>
        <v>0</v>
      </c>
      <c r="L52" s="112">
        <f t="shared" si="2"/>
        <v>0</v>
      </c>
      <c r="M52" s="112">
        <f t="shared" si="2"/>
        <v>0</v>
      </c>
      <c r="N52" s="112">
        <f t="shared" si="2"/>
        <v>0</v>
      </c>
      <c r="O52" s="112">
        <f t="shared" si="2"/>
        <v>0</v>
      </c>
      <c r="P52" s="112">
        <f t="shared" si="2"/>
        <v>0</v>
      </c>
      <c r="Q52" s="112">
        <f t="shared" si="2"/>
        <v>0</v>
      </c>
      <c r="R52" s="112">
        <f t="shared" si="2"/>
        <v>0</v>
      </c>
      <c r="S52" s="112">
        <f t="shared" si="2"/>
        <v>0</v>
      </c>
      <c r="T52" s="112">
        <f t="shared" si="2"/>
        <v>0</v>
      </c>
      <c r="U52" s="112">
        <f t="shared" si="2"/>
        <v>0</v>
      </c>
      <c r="V52" s="112">
        <f t="shared" si="2"/>
        <v>0</v>
      </c>
      <c r="W52" s="112">
        <f t="shared" si="2"/>
        <v>0</v>
      </c>
    </row>
    <row r="53" spans="2:23" x14ac:dyDescent="0.25">
      <c r="E53" s="112">
        <f>E48+E28-E49</f>
        <v>0</v>
      </c>
      <c r="F53" s="112">
        <f t="shared" ref="F53:W53" si="3">F48+F28-F49</f>
        <v>0</v>
      </c>
      <c r="G53" s="112">
        <f t="shared" si="3"/>
        <v>0</v>
      </c>
      <c r="H53" s="112">
        <f t="shared" si="3"/>
        <v>0</v>
      </c>
      <c r="I53" s="112">
        <f t="shared" si="3"/>
        <v>0</v>
      </c>
      <c r="J53" s="112">
        <f t="shared" si="3"/>
        <v>0</v>
      </c>
      <c r="K53" s="112">
        <f t="shared" si="3"/>
        <v>0</v>
      </c>
      <c r="L53" s="112">
        <f t="shared" si="3"/>
        <v>0</v>
      </c>
      <c r="M53" s="112">
        <f t="shared" si="3"/>
        <v>0</v>
      </c>
      <c r="N53" s="112">
        <f t="shared" si="3"/>
        <v>0</v>
      </c>
      <c r="O53" s="112">
        <f t="shared" si="3"/>
        <v>0</v>
      </c>
      <c r="P53" s="112">
        <f t="shared" si="3"/>
        <v>0</v>
      </c>
      <c r="Q53" s="112">
        <f t="shared" si="3"/>
        <v>0</v>
      </c>
      <c r="R53" s="112">
        <f t="shared" si="3"/>
        <v>0</v>
      </c>
      <c r="S53" s="112">
        <f t="shared" si="3"/>
        <v>0</v>
      </c>
      <c r="T53" s="112">
        <f t="shared" si="3"/>
        <v>0</v>
      </c>
      <c r="U53" s="112">
        <f t="shared" si="3"/>
        <v>0</v>
      </c>
      <c r="V53" s="112">
        <f t="shared" si="3"/>
        <v>0</v>
      </c>
      <c r="W53" s="112">
        <f t="shared" si="3"/>
        <v>0</v>
      </c>
    </row>
    <row r="54" spans="2:23" x14ac:dyDescent="0.25">
      <c r="E54" s="112">
        <f>E49-'BP (Passivo)'!E57</f>
        <v>0</v>
      </c>
      <c r="F54" s="112">
        <f>F49-'BP (Passivo)'!F57</f>
        <v>0</v>
      </c>
      <c r="G54" s="112">
        <f>G49-'BP (Passivo)'!G57</f>
        <v>0</v>
      </c>
      <c r="H54" s="112">
        <f>H49-'BP (Passivo)'!H57</f>
        <v>0</v>
      </c>
      <c r="I54" s="112">
        <f>I49-'BP (Passivo)'!I57</f>
        <v>0</v>
      </c>
      <c r="J54" s="112">
        <f>J49-'BP (Passivo)'!J57</f>
        <v>0</v>
      </c>
      <c r="K54" s="112">
        <f>K49-'BP (Passivo)'!K57</f>
        <v>0</v>
      </c>
      <c r="L54" s="112">
        <f>L49-'BP (Passivo)'!L57</f>
        <v>0</v>
      </c>
      <c r="M54" s="112">
        <f>M49-'BP (Passivo)'!M57</f>
        <v>0</v>
      </c>
      <c r="N54" s="112">
        <f>N49-'BP (Passivo)'!N57</f>
        <v>0</v>
      </c>
      <c r="O54" s="112">
        <f>O49-'BP (Passivo)'!O57</f>
        <v>0</v>
      </c>
      <c r="P54" s="112">
        <f>P49-'BP (Passivo)'!P57</f>
        <v>0</v>
      </c>
      <c r="Q54" s="112">
        <f>Q49-'BP (Passivo)'!Q57</f>
        <v>0</v>
      </c>
      <c r="R54" s="112">
        <f>R49-'BP (Passivo)'!R57</f>
        <v>0</v>
      </c>
      <c r="S54" s="112">
        <f>S49-'BP (Passivo)'!S57</f>
        <v>0</v>
      </c>
      <c r="T54" s="112">
        <f>T49-'BP (Passivo)'!T57</f>
        <v>0</v>
      </c>
      <c r="U54" s="112">
        <f>U49-'BP (Passivo)'!U57</f>
        <v>0</v>
      </c>
      <c r="V54" s="112">
        <f>V49-'BP (Passivo)'!V57</f>
        <v>0</v>
      </c>
      <c r="W54" s="112">
        <f>W49-'BP (Passivo)'!W57</f>
        <v>0</v>
      </c>
    </row>
    <row r="55" spans="2:23" x14ac:dyDescent="0.25">
      <c r="E55" s="112"/>
    </row>
  </sheetData>
  <mergeCells count="1">
    <mergeCell ref="B6:H8"/>
  </mergeCells>
  <conditionalFormatting sqref="B11:B49">
    <cfRule type="expression" dxfId="23" priority="13">
      <formula>MOD(ROW(),2)=0</formula>
    </cfRule>
  </conditionalFormatting>
  <conditionalFormatting sqref="E11:W36 E38:W38 E40:W49 C39:W39 C37:W37 C47:D49 D11">
    <cfRule type="expression" dxfId="22" priority="5">
      <formula>MOD(ROW(),2)=0</formula>
    </cfRule>
  </conditionalFormatting>
  <conditionalFormatting sqref="E50:W50">
    <cfRule type="cellIs" dxfId="21" priority="4" operator="notEqual">
      <formula>0</formula>
    </cfRule>
  </conditionalFormatting>
  <conditionalFormatting sqref="E51:W53">
    <cfRule type="cellIs" dxfId="20" priority="3" operator="notEqual">
      <formula>0</formula>
    </cfRule>
  </conditionalFormatting>
  <conditionalFormatting sqref="E54:E55 F54:W54">
    <cfRule type="cellIs" dxfId="19" priority="2" operator="notEqual">
      <formula>0</formula>
    </cfRule>
  </conditionalFormatting>
  <conditionalFormatting sqref="C11:C36 C40:D46 C38:D38 D12:D36">
    <cfRule type="expression" dxfId="18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Planilha18"/>
  <dimension ref="A1:W71"/>
  <sheetViews>
    <sheetView showGridLines="0" showRowColHeaders="0" zoomScale="70" zoomScaleNormal="70" workbookViewId="0"/>
  </sheetViews>
  <sheetFormatPr defaultColWidth="8.7109375" defaultRowHeight="15" x14ac:dyDescent="0.25"/>
  <cols>
    <col min="1" max="1" width="9.42578125" customWidth="1"/>
    <col min="2" max="2" width="65.7109375" customWidth="1"/>
    <col min="3" max="3" width="19.42578125" customWidth="1"/>
    <col min="4" max="4" width="18" customWidth="1"/>
    <col min="5" max="5" width="15.7109375" customWidth="1"/>
    <col min="6" max="23" width="20.28515625" customWidth="1"/>
  </cols>
  <sheetData>
    <row r="1" spans="1:23" x14ac:dyDescent="0.25">
      <c r="F1" s="296"/>
    </row>
    <row r="2" spans="1:23" x14ac:dyDescent="0.25">
      <c r="F2" s="296"/>
    </row>
    <row r="3" spans="1:23" x14ac:dyDescent="0.25">
      <c r="F3" s="296"/>
    </row>
    <row r="4" spans="1:23" x14ac:dyDescent="0.25">
      <c r="F4" s="296"/>
    </row>
    <row r="5" spans="1:23" x14ac:dyDescent="0.25">
      <c r="F5" s="296"/>
    </row>
    <row r="6" spans="1:23" ht="17.25" customHeight="1" x14ac:dyDescent="0.25">
      <c r="B6" s="390"/>
      <c r="C6" s="390"/>
      <c r="D6" s="390"/>
      <c r="E6" s="390"/>
      <c r="F6" s="402"/>
      <c r="G6" s="402"/>
      <c r="H6" s="402"/>
    </row>
    <row r="7" spans="1:23" ht="6.75" customHeight="1" x14ac:dyDescent="0.25">
      <c r="B7" s="402"/>
      <c r="C7" s="402"/>
      <c r="D7" s="402"/>
      <c r="E7" s="402"/>
      <c r="F7" s="402"/>
      <c r="G7" s="402"/>
      <c r="H7" s="402"/>
    </row>
    <row r="8" spans="1:23" ht="17.25" customHeight="1" x14ac:dyDescent="0.25">
      <c r="B8" s="402"/>
      <c r="C8" s="402"/>
      <c r="D8" s="402"/>
      <c r="E8" s="402"/>
      <c r="F8" s="402"/>
      <c r="G8" s="402"/>
      <c r="H8" s="402"/>
    </row>
    <row r="9" spans="1:23" ht="20.45" customHeight="1" x14ac:dyDescent="0.25">
      <c r="B9" s="17" t="s">
        <v>130</v>
      </c>
      <c r="C9" s="17"/>
      <c r="D9" s="17"/>
      <c r="E9" s="17"/>
      <c r="F9" s="2"/>
      <c r="G9" s="2"/>
      <c r="H9" s="2"/>
    </row>
    <row r="10" spans="1:23" ht="15.75" x14ac:dyDescent="0.25">
      <c r="B10" s="167"/>
      <c r="C10" s="320" t="s">
        <v>562</v>
      </c>
      <c r="D10" s="320" t="s">
        <v>548</v>
      </c>
      <c r="E10" s="320">
        <v>2023</v>
      </c>
      <c r="F10" s="320" t="s">
        <v>308</v>
      </c>
      <c r="G10" s="162" t="s">
        <v>309</v>
      </c>
      <c r="H10" s="69" t="s">
        <v>135</v>
      </c>
      <c r="I10" s="69">
        <v>2022</v>
      </c>
      <c r="J10" s="320" t="s">
        <v>310</v>
      </c>
      <c r="K10" s="162" t="s">
        <v>311</v>
      </c>
      <c r="L10" s="69" t="s">
        <v>138</v>
      </c>
      <c r="M10" s="69">
        <v>2021</v>
      </c>
      <c r="N10" s="320" t="s">
        <v>312</v>
      </c>
      <c r="O10" s="162" t="s">
        <v>313</v>
      </c>
      <c r="P10" s="69" t="s">
        <v>141</v>
      </c>
      <c r="Q10" s="69">
        <v>2020</v>
      </c>
      <c r="R10" s="69" t="s">
        <v>314</v>
      </c>
      <c r="S10" s="69" t="s">
        <v>315</v>
      </c>
      <c r="T10" s="69" t="s">
        <v>316</v>
      </c>
      <c r="U10" s="69">
        <v>2019</v>
      </c>
      <c r="V10" s="320" t="s">
        <v>317</v>
      </c>
      <c r="W10" s="162" t="s">
        <v>318</v>
      </c>
    </row>
    <row r="11" spans="1:23" s="34" customFormat="1" ht="20.45" customHeight="1" x14ac:dyDescent="0.25">
      <c r="A11"/>
      <c r="B11" s="27" t="s">
        <v>334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</row>
    <row r="12" spans="1:23" s="34" customFormat="1" ht="20.45" customHeight="1" x14ac:dyDescent="0.25">
      <c r="A12"/>
      <c r="B12" s="51" t="s">
        <v>361</v>
      </c>
      <c r="C12" s="127">
        <v>2759683</v>
      </c>
      <c r="D12" s="127">
        <v>2667047</v>
      </c>
      <c r="E12" s="127">
        <v>3016696</v>
      </c>
      <c r="F12" s="127">
        <v>2783365</v>
      </c>
      <c r="G12" s="127">
        <v>2492971</v>
      </c>
      <c r="H12" s="127">
        <v>2447668</v>
      </c>
      <c r="I12" s="127">
        <v>2832049</v>
      </c>
      <c r="J12" s="127">
        <v>2740736</v>
      </c>
      <c r="K12" s="127">
        <v>2385580</v>
      </c>
      <c r="L12" s="127">
        <v>2242655</v>
      </c>
      <c r="M12" s="127">
        <v>2683343</v>
      </c>
      <c r="N12" s="127">
        <v>3370554</v>
      </c>
      <c r="O12" s="127">
        <v>2381696</v>
      </c>
      <c r="P12" s="127">
        <v>1956774</v>
      </c>
      <c r="Q12" s="127">
        <v>2358320</v>
      </c>
      <c r="R12" s="127">
        <v>1991051</v>
      </c>
      <c r="S12" s="127">
        <v>1945496</v>
      </c>
      <c r="T12" s="127">
        <v>1722772</v>
      </c>
      <c r="U12" s="127">
        <v>2079891</v>
      </c>
      <c r="V12" s="127">
        <v>2058732</v>
      </c>
      <c r="W12" s="127">
        <v>1840794</v>
      </c>
    </row>
    <row r="13" spans="1:23" s="34" customFormat="1" ht="20.45" customHeight="1" x14ac:dyDescent="0.25">
      <c r="A13"/>
      <c r="B13" s="51" t="s">
        <v>362</v>
      </c>
      <c r="C13" s="127">
        <v>388031</v>
      </c>
      <c r="D13" s="127">
        <v>453044</v>
      </c>
      <c r="E13" s="127">
        <v>487241</v>
      </c>
      <c r="F13" s="127">
        <v>531494</v>
      </c>
      <c r="G13" s="127">
        <v>540623</v>
      </c>
      <c r="H13" s="127">
        <v>530616</v>
      </c>
      <c r="I13" s="127">
        <v>510247</v>
      </c>
      <c r="J13" s="127">
        <v>540031</v>
      </c>
      <c r="K13" s="127">
        <v>551046</v>
      </c>
      <c r="L13" s="127">
        <v>491293</v>
      </c>
      <c r="M13" s="127">
        <v>610695</v>
      </c>
      <c r="N13" s="127">
        <v>659433</v>
      </c>
      <c r="O13" s="127">
        <v>600418</v>
      </c>
      <c r="P13" s="127">
        <v>589439</v>
      </c>
      <c r="Q13" s="127">
        <v>445807</v>
      </c>
      <c r="R13" s="127">
        <v>387141</v>
      </c>
      <c r="S13" s="127">
        <v>377372</v>
      </c>
      <c r="T13" s="127">
        <v>448177</v>
      </c>
      <c r="U13" s="127">
        <v>456771</v>
      </c>
      <c r="V13" s="127">
        <v>480389</v>
      </c>
      <c r="W13" s="127">
        <v>510867</v>
      </c>
    </row>
    <row r="14" spans="1:23" s="34" customFormat="1" ht="20.45" customHeight="1" x14ac:dyDescent="0.25">
      <c r="A14"/>
      <c r="B14" s="51" t="s">
        <v>363</v>
      </c>
      <c r="C14" s="127">
        <v>87913</v>
      </c>
      <c r="D14" s="127">
        <v>207174</v>
      </c>
      <c r="E14" s="127">
        <v>164761</v>
      </c>
      <c r="F14" s="127">
        <v>120919</v>
      </c>
      <c r="G14" s="127">
        <v>80311</v>
      </c>
      <c r="H14" s="127">
        <v>146507</v>
      </c>
      <c r="I14" s="127">
        <v>105207</v>
      </c>
      <c r="J14" s="127">
        <v>125365</v>
      </c>
      <c r="K14" s="127">
        <v>99601</v>
      </c>
      <c r="L14" s="127">
        <v>176329</v>
      </c>
      <c r="M14" s="127">
        <v>136580</v>
      </c>
      <c r="N14" s="127">
        <v>109903</v>
      </c>
      <c r="O14" s="127">
        <v>66788</v>
      </c>
      <c r="P14" s="127">
        <v>147269</v>
      </c>
      <c r="Q14" s="127">
        <v>121865</v>
      </c>
      <c r="R14" s="127">
        <v>99644</v>
      </c>
      <c r="S14" s="127">
        <v>200715</v>
      </c>
      <c r="T14" s="127">
        <v>197483</v>
      </c>
      <c r="U14" s="127">
        <v>212220</v>
      </c>
      <c r="V14" s="127">
        <v>109662</v>
      </c>
      <c r="W14" s="127">
        <v>133462</v>
      </c>
    </row>
    <row r="15" spans="1:23" s="34" customFormat="1" ht="20.45" customHeight="1" x14ac:dyDescent="0.25">
      <c r="A15"/>
      <c r="B15" s="51" t="s">
        <v>364</v>
      </c>
      <c r="C15" s="127">
        <v>550599</v>
      </c>
      <c r="D15" s="127">
        <v>535375</v>
      </c>
      <c r="E15" s="127">
        <v>643623</v>
      </c>
      <c r="F15" s="127">
        <v>546699</v>
      </c>
      <c r="G15" s="127">
        <v>884370</v>
      </c>
      <c r="H15" s="127">
        <v>908844</v>
      </c>
      <c r="I15" s="127">
        <v>544146</v>
      </c>
      <c r="J15" s="127">
        <v>430905</v>
      </c>
      <c r="K15" s="127">
        <v>418173</v>
      </c>
      <c r="L15" s="127">
        <v>466486</v>
      </c>
      <c r="M15" s="127">
        <v>528096</v>
      </c>
      <c r="N15" s="127">
        <v>491421</v>
      </c>
      <c r="O15" s="127">
        <v>440877</v>
      </c>
      <c r="P15" s="127">
        <v>472805</v>
      </c>
      <c r="Q15" s="127">
        <v>505739</v>
      </c>
      <c r="R15" s="127">
        <v>492365</v>
      </c>
      <c r="S15" s="127">
        <v>622514</v>
      </c>
      <c r="T15" s="127">
        <v>313569</v>
      </c>
      <c r="U15" s="127">
        <v>410967</v>
      </c>
      <c r="V15" s="127">
        <v>334055</v>
      </c>
      <c r="W15" s="127">
        <v>334636</v>
      </c>
    </row>
    <row r="16" spans="1:23" s="34" customFormat="1" ht="20.45" customHeight="1" x14ac:dyDescent="0.25">
      <c r="A16"/>
      <c r="B16" s="51" t="s">
        <v>365</v>
      </c>
      <c r="C16" s="127">
        <v>134410</v>
      </c>
      <c r="D16" s="127">
        <v>48239</v>
      </c>
      <c r="E16" s="127">
        <v>111232</v>
      </c>
      <c r="F16" s="127">
        <v>78159</v>
      </c>
      <c r="G16" s="127">
        <v>111667</v>
      </c>
      <c r="H16" s="127">
        <v>253607</v>
      </c>
      <c r="I16" s="127">
        <v>239674</v>
      </c>
      <c r="J16" s="127">
        <v>260059</v>
      </c>
      <c r="K16" s="127">
        <v>217182</v>
      </c>
      <c r="L16" s="127">
        <v>184834</v>
      </c>
      <c r="M16" s="127">
        <v>190002</v>
      </c>
      <c r="N16" s="127">
        <v>191182</v>
      </c>
      <c r="O16" s="127">
        <v>143198</v>
      </c>
      <c r="P16" s="127">
        <v>76529</v>
      </c>
      <c r="Q16" s="127">
        <v>140058</v>
      </c>
      <c r="R16" s="127">
        <v>100899</v>
      </c>
      <c r="S16" s="127">
        <v>65605</v>
      </c>
      <c r="T16" s="127">
        <v>46431</v>
      </c>
      <c r="U16" s="127">
        <v>133868</v>
      </c>
      <c r="V16" s="127">
        <v>111249</v>
      </c>
      <c r="W16" s="127">
        <v>542010</v>
      </c>
    </row>
    <row r="17" spans="1:23" s="34" customFormat="1" ht="20.45" customHeight="1" x14ac:dyDescent="0.25">
      <c r="A17"/>
      <c r="B17" s="51" t="s">
        <v>366</v>
      </c>
      <c r="C17" s="127">
        <v>2227157</v>
      </c>
      <c r="D17" s="127">
        <v>3310765</v>
      </c>
      <c r="E17" s="127">
        <v>2924430</v>
      </c>
      <c r="F17" s="127">
        <v>2101947</v>
      </c>
      <c r="G17" s="127">
        <v>1722915</v>
      </c>
      <c r="H17" s="127">
        <v>2246458</v>
      </c>
      <c r="I17" s="127">
        <v>1862798</v>
      </c>
      <c r="J17" s="127">
        <v>1945118</v>
      </c>
      <c r="K17" s="127">
        <v>1517328</v>
      </c>
      <c r="L17" s="127">
        <v>2130995</v>
      </c>
      <c r="M17" s="127">
        <v>1909050</v>
      </c>
      <c r="N17" s="127">
        <v>747757</v>
      </c>
      <c r="O17" s="127">
        <v>748284</v>
      </c>
      <c r="P17" s="127">
        <v>1448818</v>
      </c>
      <c r="Q17" s="127">
        <v>1448846</v>
      </c>
      <c r="R17" s="127">
        <v>854246</v>
      </c>
      <c r="S17" s="127">
        <v>745864</v>
      </c>
      <c r="T17" s="127">
        <v>745642</v>
      </c>
      <c r="U17" s="127">
        <v>744591</v>
      </c>
      <c r="V17" s="127">
        <v>767326</v>
      </c>
      <c r="W17" s="127">
        <v>767593</v>
      </c>
    </row>
    <row r="18" spans="1:23" s="34" customFormat="1" ht="20.45" customHeight="1" x14ac:dyDescent="0.25">
      <c r="A18"/>
      <c r="B18" s="51" t="s">
        <v>367</v>
      </c>
      <c r="C18" s="127">
        <v>4657882</v>
      </c>
      <c r="D18" s="127">
        <v>2713786</v>
      </c>
      <c r="E18" s="127">
        <v>2629708</v>
      </c>
      <c r="F18" s="127">
        <v>1162186</v>
      </c>
      <c r="G18" s="127">
        <v>951750</v>
      </c>
      <c r="H18" s="127">
        <v>1091484</v>
      </c>
      <c r="I18" s="127">
        <v>955497</v>
      </c>
      <c r="J18" s="127">
        <v>1188699</v>
      </c>
      <c r="K18" s="127">
        <v>1003209</v>
      </c>
      <c r="L18" s="127">
        <v>1121332</v>
      </c>
      <c r="M18" s="127">
        <v>1465133</v>
      </c>
      <c r="N18" s="127">
        <v>1569440</v>
      </c>
      <c r="O18" s="127">
        <v>1409378</v>
      </c>
      <c r="P18" s="127">
        <v>1628278</v>
      </c>
      <c r="Q18" s="127">
        <v>2059315</v>
      </c>
      <c r="R18" s="127">
        <v>2373644</v>
      </c>
      <c r="S18" s="127">
        <v>3001664</v>
      </c>
      <c r="T18" s="127">
        <v>3069072</v>
      </c>
      <c r="U18" s="127">
        <v>2746249</v>
      </c>
      <c r="V18" s="127">
        <v>2769520</v>
      </c>
      <c r="W18" s="127">
        <v>2949083</v>
      </c>
    </row>
    <row r="19" spans="1:23" s="34" customFormat="1" ht="20.45" customHeight="1" x14ac:dyDescent="0.25">
      <c r="A19"/>
      <c r="B19" s="51" t="s">
        <v>368</v>
      </c>
      <c r="C19" s="127">
        <v>338917</v>
      </c>
      <c r="D19" s="127">
        <v>231113</v>
      </c>
      <c r="E19" s="127">
        <v>238749</v>
      </c>
      <c r="F19" s="127">
        <v>246979</v>
      </c>
      <c r="G19" s="127">
        <v>233218</v>
      </c>
      <c r="H19" s="127">
        <v>232002</v>
      </c>
      <c r="I19" s="127">
        <v>260015</v>
      </c>
      <c r="J19" s="127">
        <v>260746</v>
      </c>
      <c r="K19" s="127">
        <v>263971</v>
      </c>
      <c r="L19" s="127">
        <v>207030</v>
      </c>
      <c r="M19" s="127">
        <v>225189</v>
      </c>
      <c r="N19" s="127">
        <v>233151</v>
      </c>
      <c r="O19" s="127">
        <v>239834</v>
      </c>
      <c r="P19" s="127">
        <v>190448</v>
      </c>
      <c r="Q19" s="127">
        <v>212755</v>
      </c>
      <c r="R19" s="127">
        <v>237996</v>
      </c>
      <c r="S19" s="127">
        <v>234073</v>
      </c>
      <c r="T19" s="127">
        <v>186238</v>
      </c>
      <c r="U19" s="127">
        <v>200044</v>
      </c>
      <c r="V19" s="127">
        <v>252265</v>
      </c>
      <c r="W19" s="127">
        <v>256310</v>
      </c>
    </row>
    <row r="20" spans="1:23" s="34" customFormat="1" ht="20.45" customHeight="1" x14ac:dyDescent="0.25">
      <c r="A20"/>
      <c r="B20" s="51" t="s">
        <v>344</v>
      </c>
      <c r="C20" s="127">
        <v>410341</v>
      </c>
      <c r="D20" s="127">
        <v>419029</v>
      </c>
      <c r="E20" s="127">
        <v>424713</v>
      </c>
      <c r="F20" s="127">
        <v>384611</v>
      </c>
      <c r="G20" s="127">
        <v>372093</v>
      </c>
      <c r="H20" s="127">
        <v>330992</v>
      </c>
      <c r="I20" s="127">
        <v>312475</v>
      </c>
      <c r="J20" s="127">
        <v>290352</v>
      </c>
      <c r="K20" s="127">
        <v>291510</v>
      </c>
      <c r="L20" s="127">
        <v>376412</v>
      </c>
      <c r="M20" s="127">
        <v>357105</v>
      </c>
      <c r="N20" s="127">
        <v>334804</v>
      </c>
      <c r="O20" s="127">
        <v>282268</v>
      </c>
      <c r="P20" s="127">
        <v>268843</v>
      </c>
      <c r="Q20" s="127">
        <v>304869</v>
      </c>
      <c r="R20" s="127">
        <v>233749</v>
      </c>
      <c r="S20" s="127">
        <v>238295</v>
      </c>
      <c r="T20" s="127">
        <v>247967</v>
      </c>
      <c r="U20" s="127">
        <v>251809</v>
      </c>
      <c r="V20" s="127"/>
      <c r="W20" s="127"/>
    </row>
    <row r="21" spans="1:23" s="34" customFormat="1" ht="20.45" customHeight="1" x14ac:dyDescent="0.25">
      <c r="A21"/>
      <c r="B21" s="51" t="s">
        <v>369</v>
      </c>
      <c r="C21" s="127">
        <v>967329</v>
      </c>
      <c r="D21" s="127">
        <v>781661</v>
      </c>
      <c r="E21" s="127">
        <v>704653</v>
      </c>
      <c r="F21" s="127">
        <v>608389</v>
      </c>
      <c r="G21" s="127">
        <v>510559</v>
      </c>
      <c r="H21" s="127">
        <v>563397</v>
      </c>
      <c r="I21" s="127">
        <v>455273</v>
      </c>
      <c r="J21" s="127" t="s">
        <v>5</v>
      </c>
      <c r="K21" s="127" t="s">
        <v>5</v>
      </c>
      <c r="L21" s="127" t="s">
        <v>5</v>
      </c>
      <c r="M21" s="127" t="s">
        <v>5</v>
      </c>
      <c r="N21" s="127" t="s">
        <v>5</v>
      </c>
      <c r="O21" s="127" t="s">
        <v>5</v>
      </c>
      <c r="P21" s="127" t="s">
        <v>5</v>
      </c>
      <c r="Q21" s="127" t="s">
        <v>5</v>
      </c>
      <c r="R21" s="127" t="s">
        <v>5</v>
      </c>
      <c r="S21" s="127" t="s">
        <v>5</v>
      </c>
      <c r="T21" s="127" t="s">
        <v>5</v>
      </c>
      <c r="U21" s="127" t="s">
        <v>5</v>
      </c>
      <c r="V21" s="127" t="s">
        <v>5</v>
      </c>
      <c r="W21" s="127" t="s">
        <v>5</v>
      </c>
    </row>
    <row r="22" spans="1:23" s="34" customFormat="1" ht="20.45" customHeight="1" x14ac:dyDescent="0.25">
      <c r="A22"/>
      <c r="B22" s="51" t="s">
        <v>370</v>
      </c>
      <c r="C22" s="127">
        <v>229109</v>
      </c>
      <c r="D22" s="127">
        <v>282200</v>
      </c>
      <c r="E22" s="127">
        <v>328621</v>
      </c>
      <c r="F22" s="127">
        <v>374385</v>
      </c>
      <c r="G22" s="127">
        <v>408023</v>
      </c>
      <c r="H22" s="127">
        <v>399078</v>
      </c>
      <c r="I22" s="127">
        <v>388447</v>
      </c>
      <c r="J22" s="127">
        <v>374460</v>
      </c>
      <c r="K22" s="127">
        <v>366545</v>
      </c>
      <c r="L22" s="127">
        <v>352358</v>
      </c>
      <c r="M22" s="127">
        <v>346733</v>
      </c>
      <c r="N22" s="127">
        <v>333587</v>
      </c>
      <c r="O22" s="127">
        <v>324307</v>
      </c>
      <c r="P22" s="127">
        <v>313392</v>
      </c>
      <c r="Q22" s="127">
        <v>304551</v>
      </c>
      <c r="R22" s="127">
        <v>296686</v>
      </c>
      <c r="S22" s="127">
        <v>311265</v>
      </c>
      <c r="T22" s="127">
        <v>290319</v>
      </c>
      <c r="U22" s="127">
        <v>287538</v>
      </c>
      <c r="V22" s="127">
        <v>280841</v>
      </c>
      <c r="W22" s="127">
        <v>277531</v>
      </c>
    </row>
    <row r="23" spans="1:23" s="34" customFormat="1" ht="20.45" customHeight="1" x14ac:dyDescent="0.25">
      <c r="A23"/>
      <c r="B23" s="51" t="s">
        <v>371</v>
      </c>
      <c r="C23" s="127">
        <v>0</v>
      </c>
      <c r="D23" s="127">
        <v>0</v>
      </c>
      <c r="E23" s="127">
        <v>0</v>
      </c>
      <c r="F23" s="127" t="s">
        <v>5</v>
      </c>
      <c r="G23" s="127" t="s">
        <v>5</v>
      </c>
      <c r="H23" s="127" t="s">
        <v>5</v>
      </c>
      <c r="I23" s="127" t="s">
        <v>5</v>
      </c>
      <c r="J23" s="127" t="s">
        <v>5</v>
      </c>
      <c r="K23" s="127" t="s">
        <v>5</v>
      </c>
      <c r="L23" s="127">
        <v>1466</v>
      </c>
      <c r="M23" s="127">
        <v>51359</v>
      </c>
      <c r="N23" s="127">
        <v>98537</v>
      </c>
      <c r="O23" s="127">
        <v>138808</v>
      </c>
      <c r="P23" s="127">
        <v>59026</v>
      </c>
      <c r="Q23" s="127">
        <v>231322</v>
      </c>
      <c r="R23" s="127">
        <v>330743</v>
      </c>
      <c r="S23" s="127" t="s">
        <v>5</v>
      </c>
      <c r="T23" s="127" t="s">
        <v>5</v>
      </c>
      <c r="U23" s="127" t="s">
        <v>5</v>
      </c>
      <c r="V23" s="127" t="s">
        <v>5</v>
      </c>
      <c r="W23" s="127" t="s">
        <v>5</v>
      </c>
    </row>
    <row r="24" spans="1:23" s="34" customFormat="1" ht="20.45" customHeight="1" x14ac:dyDescent="0.25">
      <c r="A24"/>
      <c r="B24" s="51" t="s">
        <v>372</v>
      </c>
      <c r="C24" s="127">
        <v>340800</v>
      </c>
      <c r="D24" s="127">
        <v>531359</v>
      </c>
      <c r="E24" s="127">
        <v>854025</v>
      </c>
      <c r="F24" s="127">
        <v>1193429</v>
      </c>
      <c r="G24" s="127">
        <v>1164003</v>
      </c>
      <c r="H24" s="127">
        <v>458810</v>
      </c>
      <c r="I24" s="127">
        <v>1495598</v>
      </c>
      <c r="J24" s="127">
        <v>1873276</v>
      </c>
      <c r="K24" s="127">
        <v>2579363</v>
      </c>
      <c r="L24" s="127">
        <v>267307</v>
      </c>
      <c r="M24" s="127">
        <v>704025</v>
      </c>
      <c r="N24" s="127">
        <v>1145019</v>
      </c>
      <c r="O24" s="127">
        <v>1590108</v>
      </c>
      <c r="P24" s="127">
        <v>836107</v>
      </c>
      <c r="Q24" s="127">
        <v>448019</v>
      </c>
      <c r="R24" s="127">
        <v>630993</v>
      </c>
      <c r="S24" s="127">
        <v>714339</v>
      </c>
      <c r="T24" s="127" t="s">
        <v>5</v>
      </c>
      <c r="U24" s="127" t="s">
        <v>5</v>
      </c>
      <c r="V24" s="127" t="s">
        <v>5</v>
      </c>
      <c r="W24" s="127" t="s">
        <v>5</v>
      </c>
    </row>
    <row r="25" spans="1:23" s="34" customFormat="1" ht="20.45" customHeight="1" x14ac:dyDescent="0.25">
      <c r="A25"/>
      <c r="B25" s="51" t="s">
        <v>353</v>
      </c>
      <c r="C25" s="127">
        <v>0</v>
      </c>
      <c r="D25" s="127">
        <v>0</v>
      </c>
      <c r="E25" s="127">
        <v>0</v>
      </c>
      <c r="F25" s="127">
        <v>41742</v>
      </c>
      <c r="G25" s="127">
        <v>105020</v>
      </c>
      <c r="H25" s="127">
        <v>109584</v>
      </c>
      <c r="I25" s="127">
        <v>90526</v>
      </c>
      <c r="J25" s="127">
        <v>91693</v>
      </c>
      <c r="K25" s="127">
        <v>128499</v>
      </c>
      <c r="L25" s="127">
        <v>109824</v>
      </c>
      <c r="M25" s="127">
        <v>6130</v>
      </c>
      <c r="N25" s="127" t="s">
        <v>5</v>
      </c>
      <c r="O25" s="127">
        <v>59032</v>
      </c>
      <c r="P25" s="127" t="s">
        <v>5</v>
      </c>
      <c r="Q25" s="127" t="s">
        <v>5</v>
      </c>
      <c r="R25" s="127"/>
      <c r="S25" s="127" t="s">
        <v>5</v>
      </c>
      <c r="T25" s="127" t="s">
        <v>5</v>
      </c>
      <c r="U25" s="127" t="s">
        <v>5</v>
      </c>
      <c r="V25" s="127" t="s">
        <v>5</v>
      </c>
      <c r="W25" s="127" t="s">
        <v>5</v>
      </c>
    </row>
    <row r="26" spans="1:23" s="34" customFormat="1" ht="20.45" customHeight="1" x14ac:dyDescent="0.25">
      <c r="A26"/>
      <c r="B26" s="51" t="s">
        <v>373</v>
      </c>
      <c r="C26" s="127">
        <v>0</v>
      </c>
      <c r="D26" s="127">
        <v>0</v>
      </c>
      <c r="E26" s="127">
        <v>0</v>
      </c>
      <c r="F26" s="127" t="s">
        <v>5</v>
      </c>
      <c r="G26" s="127" t="s">
        <v>5</v>
      </c>
      <c r="H26" s="127">
        <v>705171</v>
      </c>
      <c r="I26" s="127">
        <v>672416</v>
      </c>
      <c r="J26" s="127">
        <v>653967</v>
      </c>
      <c r="K26" s="127">
        <v>668691</v>
      </c>
      <c r="L26" s="127">
        <v>663719</v>
      </c>
      <c r="M26" s="127">
        <v>636292</v>
      </c>
      <c r="N26" s="127">
        <v>572490</v>
      </c>
      <c r="O26" s="127">
        <v>549513</v>
      </c>
      <c r="P26" s="127">
        <v>522988</v>
      </c>
      <c r="Q26" s="127">
        <v>536155</v>
      </c>
      <c r="R26" s="127">
        <v>515887</v>
      </c>
      <c r="S26" s="127" t="s">
        <v>5</v>
      </c>
      <c r="T26" s="127" t="s">
        <v>5</v>
      </c>
      <c r="U26" s="127" t="s">
        <v>5</v>
      </c>
      <c r="V26" s="127" t="s">
        <v>5</v>
      </c>
      <c r="W26" s="127" t="s">
        <v>5</v>
      </c>
    </row>
    <row r="27" spans="1:23" s="34" customFormat="1" ht="20.45" customHeight="1" x14ac:dyDescent="0.25">
      <c r="A27"/>
      <c r="B27" s="51" t="s">
        <v>374</v>
      </c>
      <c r="C27" s="127">
        <v>74821</v>
      </c>
      <c r="D27" s="127">
        <v>67870</v>
      </c>
      <c r="E27" s="127">
        <v>78532</v>
      </c>
      <c r="F27" s="127">
        <v>75788</v>
      </c>
      <c r="G27" s="127">
        <v>75495</v>
      </c>
      <c r="H27" s="127">
        <v>71676</v>
      </c>
      <c r="I27" s="127">
        <v>57438</v>
      </c>
      <c r="J27" s="127">
        <v>29313</v>
      </c>
      <c r="K27" s="127">
        <v>38950</v>
      </c>
      <c r="L27" s="127">
        <v>50599</v>
      </c>
      <c r="M27" s="127">
        <v>61586</v>
      </c>
      <c r="N27" s="127">
        <v>71752</v>
      </c>
      <c r="O27" s="127">
        <v>35863</v>
      </c>
      <c r="P27" s="127">
        <v>44599</v>
      </c>
      <c r="Q27" s="127">
        <v>47799</v>
      </c>
      <c r="R27" s="127">
        <v>69862</v>
      </c>
      <c r="S27" s="127">
        <v>76251</v>
      </c>
      <c r="T27" s="127">
        <v>79962</v>
      </c>
      <c r="U27" s="127">
        <v>85000</v>
      </c>
      <c r="V27" s="127">
        <v>93523</v>
      </c>
      <c r="W27" s="127">
        <v>91572</v>
      </c>
    </row>
    <row r="28" spans="1:23" s="34" customFormat="1" ht="20.45" customHeight="1" x14ac:dyDescent="0.25">
      <c r="A28"/>
      <c r="B28" s="52" t="s">
        <v>375</v>
      </c>
      <c r="C28" s="148">
        <v>460259</v>
      </c>
      <c r="D28" s="148">
        <v>599329</v>
      </c>
      <c r="E28" s="148">
        <v>485832</v>
      </c>
      <c r="F28" s="148">
        <v>465608</v>
      </c>
      <c r="G28" s="148">
        <v>474624</v>
      </c>
      <c r="H28" s="148">
        <v>525910</v>
      </c>
      <c r="I28" s="148">
        <v>423372</v>
      </c>
      <c r="J28" s="148">
        <v>766965</v>
      </c>
      <c r="K28" s="148">
        <v>662617</v>
      </c>
      <c r="L28" s="148">
        <v>810231</v>
      </c>
      <c r="M28" s="148">
        <v>776275</v>
      </c>
      <c r="N28" s="148">
        <v>565454</v>
      </c>
      <c r="O28" s="148">
        <v>536925</v>
      </c>
      <c r="P28" s="148">
        <v>502641</v>
      </c>
      <c r="Q28" s="148">
        <v>524795</v>
      </c>
      <c r="R28" s="148">
        <v>463853</v>
      </c>
      <c r="S28" s="148">
        <v>519698</v>
      </c>
      <c r="T28" s="148">
        <v>407466</v>
      </c>
      <c r="U28" s="148">
        <v>355623</v>
      </c>
      <c r="V28" s="148">
        <v>516526</v>
      </c>
      <c r="W28" s="148">
        <v>481443</v>
      </c>
    </row>
    <row r="29" spans="1:23" s="34" customFormat="1" ht="20.45" customHeight="1" x14ac:dyDescent="0.25">
      <c r="A29"/>
      <c r="B29" s="51"/>
      <c r="C29" s="149"/>
      <c r="D29" s="149">
        <f>SUM(D12:D28)</f>
        <v>12847991</v>
      </c>
      <c r="E29" s="149">
        <v>13092816</v>
      </c>
      <c r="F29" s="149">
        <v>10715700</v>
      </c>
      <c r="G29" s="149">
        <v>10127642</v>
      </c>
      <c r="H29" s="149">
        <v>11021804</v>
      </c>
      <c r="I29" s="149">
        <v>11205178</v>
      </c>
      <c r="J29" s="149">
        <v>11571685</v>
      </c>
      <c r="K29" s="149">
        <v>11192265</v>
      </c>
      <c r="L29" s="149">
        <v>9652870</v>
      </c>
      <c r="M29" s="149">
        <v>10687593</v>
      </c>
      <c r="N29" s="149">
        <v>10494484</v>
      </c>
      <c r="O29" s="149">
        <v>9547297</v>
      </c>
      <c r="P29" s="149">
        <v>9057956</v>
      </c>
      <c r="Q29" s="149">
        <v>9690215</v>
      </c>
      <c r="R29" s="149">
        <v>9078759</v>
      </c>
      <c r="S29" s="149">
        <v>9053151</v>
      </c>
      <c r="T29" s="149">
        <v>7755098</v>
      </c>
      <c r="U29" s="149">
        <v>7964571</v>
      </c>
      <c r="V29" s="149">
        <v>7774088</v>
      </c>
      <c r="W29" s="149">
        <v>8185301</v>
      </c>
    </row>
    <row r="30" spans="1:23" s="34" customFormat="1" ht="20.45" customHeight="1" x14ac:dyDescent="0.25">
      <c r="A30"/>
      <c r="B30" s="51" t="s">
        <v>376</v>
      </c>
      <c r="C30" s="148">
        <v>0</v>
      </c>
      <c r="D30" s="148">
        <v>0</v>
      </c>
      <c r="E30" s="148">
        <v>0</v>
      </c>
      <c r="F30" s="148">
        <v>0</v>
      </c>
      <c r="G30" s="148">
        <v>0</v>
      </c>
      <c r="H30" s="148">
        <v>0</v>
      </c>
      <c r="I30" s="148">
        <v>0</v>
      </c>
      <c r="J30" s="148">
        <v>0</v>
      </c>
      <c r="K30" s="148">
        <v>0</v>
      </c>
      <c r="L30" s="148">
        <v>0</v>
      </c>
      <c r="M30" s="148">
        <v>0</v>
      </c>
      <c r="N30" s="148">
        <v>0</v>
      </c>
      <c r="O30" s="148">
        <v>0</v>
      </c>
      <c r="P30" s="148">
        <v>0</v>
      </c>
      <c r="Q30" s="148">
        <v>0</v>
      </c>
      <c r="R30" s="148">
        <v>0</v>
      </c>
      <c r="S30" s="148">
        <v>0</v>
      </c>
      <c r="T30" s="148">
        <v>0</v>
      </c>
      <c r="U30" s="148">
        <v>0</v>
      </c>
      <c r="V30" s="148">
        <v>0</v>
      </c>
      <c r="W30" s="148">
        <v>16162392</v>
      </c>
    </row>
    <row r="31" spans="1:23" s="34" customFormat="1" ht="20.45" customHeight="1" x14ac:dyDescent="0.25">
      <c r="A31"/>
      <c r="B31" s="95" t="s">
        <v>377</v>
      </c>
      <c r="C31" s="149">
        <v>13627251</v>
      </c>
      <c r="D31" s="149">
        <f>D29</f>
        <v>12847991</v>
      </c>
      <c r="E31" s="149">
        <v>13092816</v>
      </c>
      <c r="F31" s="149">
        <v>10715700</v>
      </c>
      <c r="G31" s="149">
        <v>10127642</v>
      </c>
      <c r="H31" s="149">
        <v>11021804</v>
      </c>
      <c r="I31" s="149">
        <v>11205178</v>
      </c>
      <c r="J31" s="149">
        <v>11571685</v>
      </c>
      <c r="K31" s="149">
        <v>11192265</v>
      </c>
      <c r="L31" s="149">
        <v>9652870</v>
      </c>
      <c r="M31" s="149">
        <v>10687593</v>
      </c>
      <c r="N31" s="149">
        <v>10494484</v>
      </c>
      <c r="O31" s="149">
        <v>9547297</v>
      </c>
      <c r="P31" s="149">
        <v>9057956</v>
      </c>
      <c r="Q31" s="149">
        <v>9690215</v>
      </c>
      <c r="R31" s="149">
        <v>9078759</v>
      </c>
      <c r="S31" s="149">
        <v>9053151</v>
      </c>
      <c r="T31" s="149">
        <v>7755098</v>
      </c>
      <c r="U31" s="149">
        <v>7964571</v>
      </c>
      <c r="V31" s="149">
        <v>7774088</v>
      </c>
      <c r="W31" s="149">
        <v>24347693</v>
      </c>
    </row>
    <row r="32" spans="1:23" s="34" customFormat="1" ht="20.45" customHeight="1" x14ac:dyDescent="0.25">
      <c r="A32"/>
      <c r="B32" s="51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127"/>
      <c r="V32" s="127"/>
      <c r="W32" s="127"/>
    </row>
    <row r="33" spans="1:23" s="34" customFormat="1" ht="20.45" customHeight="1" x14ac:dyDescent="0.25">
      <c r="A33"/>
      <c r="B33" s="95" t="s">
        <v>349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</row>
    <row r="34" spans="1:23" s="34" customFormat="1" ht="20.45" customHeight="1" x14ac:dyDescent="0.25">
      <c r="A34"/>
      <c r="B34" s="51" t="s">
        <v>362</v>
      </c>
      <c r="C34" s="127">
        <v>181077</v>
      </c>
      <c r="D34" s="127">
        <v>115444</v>
      </c>
      <c r="E34" s="127">
        <v>90360</v>
      </c>
      <c r="F34" s="127">
        <v>36251</v>
      </c>
      <c r="G34" s="127">
        <v>46129</v>
      </c>
      <c r="H34" s="127">
        <v>47104</v>
      </c>
      <c r="I34" s="127">
        <v>65360</v>
      </c>
      <c r="J34" s="127">
        <v>67004</v>
      </c>
      <c r="K34" s="127">
        <v>57331</v>
      </c>
      <c r="L34" s="127">
        <v>84310</v>
      </c>
      <c r="M34" s="127">
        <v>204623</v>
      </c>
      <c r="N34" s="127">
        <v>183297</v>
      </c>
      <c r="O34" s="127">
        <v>159566</v>
      </c>
      <c r="P34" s="127">
        <v>124788</v>
      </c>
      <c r="Q34" s="127">
        <v>291189</v>
      </c>
      <c r="R34" s="127">
        <v>277068</v>
      </c>
      <c r="S34" s="127">
        <v>286900</v>
      </c>
      <c r="T34" s="127">
        <v>175777</v>
      </c>
      <c r="U34" s="127">
        <v>147266</v>
      </c>
      <c r="V34" s="127">
        <v>162505</v>
      </c>
      <c r="W34" s="127">
        <v>164286</v>
      </c>
    </row>
    <row r="35" spans="1:23" s="34" customFormat="1" ht="20.45" customHeight="1" x14ac:dyDescent="0.25">
      <c r="A35"/>
      <c r="B35" s="51" t="s">
        <v>367</v>
      </c>
      <c r="C35" s="127">
        <v>6985556</v>
      </c>
      <c r="D35" s="127">
        <v>8912088</v>
      </c>
      <c r="E35" s="127">
        <v>7201431</v>
      </c>
      <c r="F35" s="127">
        <v>10943728</v>
      </c>
      <c r="G35" s="127">
        <v>10879296</v>
      </c>
      <c r="H35" s="127">
        <v>9187833</v>
      </c>
      <c r="I35" s="127">
        <v>9624001</v>
      </c>
      <c r="J35" s="127">
        <v>10180253</v>
      </c>
      <c r="K35" s="127">
        <v>10181636</v>
      </c>
      <c r="L35" s="127">
        <v>8728364</v>
      </c>
      <c r="M35" s="127">
        <v>9898830</v>
      </c>
      <c r="N35" s="127">
        <v>9781813</v>
      </c>
      <c r="O35" s="127">
        <v>11909610</v>
      </c>
      <c r="P35" s="127">
        <v>13037225</v>
      </c>
      <c r="Q35" s="127">
        <v>12961243</v>
      </c>
      <c r="R35" s="127">
        <v>13733097</v>
      </c>
      <c r="S35" s="127">
        <v>12860765</v>
      </c>
      <c r="T35" s="127">
        <v>12693502</v>
      </c>
      <c r="U35" s="127">
        <v>12029782</v>
      </c>
      <c r="V35" s="127">
        <v>12414787</v>
      </c>
      <c r="W35" s="127">
        <v>10927306</v>
      </c>
    </row>
    <row r="36" spans="1:23" s="34" customFormat="1" ht="20.45" customHeight="1" x14ac:dyDescent="0.25">
      <c r="A36"/>
      <c r="B36" s="51" t="s">
        <v>364</v>
      </c>
      <c r="C36" s="127">
        <v>357220</v>
      </c>
      <c r="D36" s="127">
        <v>357899</v>
      </c>
      <c r="E36" s="127">
        <v>361973</v>
      </c>
      <c r="F36" s="127">
        <v>361977</v>
      </c>
      <c r="G36" s="127">
        <v>369686</v>
      </c>
      <c r="H36" s="127">
        <v>370279</v>
      </c>
      <c r="I36" s="127">
        <v>370168</v>
      </c>
      <c r="J36" s="127">
        <v>364289</v>
      </c>
      <c r="K36" s="127">
        <v>364378</v>
      </c>
      <c r="L36" s="127">
        <v>350819</v>
      </c>
      <c r="M36" s="127">
        <v>341689</v>
      </c>
      <c r="N36" s="127">
        <v>313918</v>
      </c>
      <c r="O36" s="127">
        <v>305041</v>
      </c>
      <c r="P36" s="127">
        <v>261465</v>
      </c>
      <c r="Q36" s="127">
        <v>262745</v>
      </c>
      <c r="R36" s="127"/>
      <c r="S36" s="127">
        <v>671</v>
      </c>
      <c r="T36" s="127">
        <v>671</v>
      </c>
      <c r="U36" s="127">
        <v>226768</v>
      </c>
      <c r="V36" s="127">
        <v>2047</v>
      </c>
      <c r="W36" s="127">
        <v>30606</v>
      </c>
    </row>
    <row r="37" spans="1:23" s="34" customFormat="1" ht="20.45" customHeight="1" x14ac:dyDescent="0.25">
      <c r="A37"/>
      <c r="B37" s="51" t="s">
        <v>378</v>
      </c>
      <c r="C37" s="127">
        <v>1198502</v>
      </c>
      <c r="D37" s="127">
        <v>1173827</v>
      </c>
      <c r="E37" s="127">
        <v>1112162</v>
      </c>
      <c r="F37" s="127">
        <v>1017814</v>
      </c>
      <c r="G37" s="127">
        <v>975392</v>
      </c>
      <c r="H37" s="127">
        <v>915565</v>
      </c>
      <c r="I37" s="127">
        <v>932235</v>
      </c>
      <c r="J37" s="127">
        <v>809625</v>
      </c>
      <c r="K37" s="127">
        <v>839713</v>
      </c>
      <c r="L37" s="127">
        <v>941956</v>
      </c>
      <c r="M37" s="127">
        <v>962255</v>
      </c>
      <c r="N37" s="127">
        <v>940300</v>
      </c>
      <c r="O37" s="127">
        <v>991293</v>
      </c>
      <c r="P37" s="127">
        <v>792422</v>
      </c>
      <c r="Q37" s="127">
        <v>1040003</v>
      </c>
      <c r="R37" s="127">
        <v>684661</v>
      </c>
      <c r="S37" s="127">
        <v>753718</v>
      </c>
      <c r="T37" s="127">
        <v>575642</v>
      </c>
      <c r="U37" s="127">
        <v>770084</v>
      </c>
      <c r="V37" s="127">
        <v>918977</v>
      </c>
      <c r="W37" s="127">
        <v>890476</v>
      </c>
    </row>
    <row r="38" spans="1:23" s="34" customFormat="1" ht="20.45" customHeight="1" x14ac:dyDescent="0.25">
      <c r="A38"/>
      <c r="B38" s="51" t="s">
        <v>379</v>
      </c>
      <c r="C38" s="127">
        <v>1751503</v>
      </c>
      <c r="D38" s="127">
        <v>2264265</v>
      </c>
      <c r="E38" s="127">
        <v>2199913</v>
      </c>
      <c r="F38" s="127">
        <v>2169803</v>
      </c>
      <c r="G38" s="127">
        <v>2111240</v>
      </c>
      <c r="H38" s="127">
        <v>2059993</v>
      </c>
      <c r="I38" s="127">
        <v>2029021</v>
      </c>
      <c r="J38" s="127">
        <v>2012091</v>
      </c>
      <c r="K38" s="127">
        <v>3356954</v>
      </c>
      <c r="L38" s="127">
        <v>1937588</v>
      </c>
      <c r="M38" s="127">
        <v>1888972</v>
      </c>
      <c r="N38" s="127">
        <v>1879114</v>
      </c>
      <c r="O38" s="127">
        <v>1884702</v>
      </c>
      <c r="P38" s="127">
        <v>1867263</v>
      </c>
      <c r="Q38" s="127">
        <v>1892437</v>
      </c>
      <c r="R38" s="127">
        <v>1883672</v>
      </c>
      <c r="S38" s="127">
        <v>1864956</v>
      </c>
      <c r="T38" s="127">
        <v>1877095</v>
      </c>
      <c r="U38" s="127">
        <v>1888064</v>
      </c>
      <c r="V38" s="127">
        <v>1852227</v>
      </c>
      <c r="W38" s="127">
        <v>687801</v>
      </c>
    </row>
    <row r="39" spans="1:23" s="34" customFormat="1" ht="20.45" customHeight="1" x14ac:dyDescent="0.25">
      <c r="A39"/>
      <c r="B39" s="51" t="s">
        <v>370</v>
      </c>
      <c r="C39" s="127">
        <v>5173353</v>
      </c>
      <c r="D39" s="127">
        <v>5152774</v>
      </c>
      <c r="E39" s="127">
        <v>5087975</v>
      </c>
      <c r="F39" s="127">
        <v>5325007</v>
      </c>
      <c r="G39" s="127">
        <v>5249788</v>
      </c>
      <c r="H39" s="127">
        <v>5223476</v>
      </c>
      <c r="I39" s="127">
        <v>5303538</v>
      </c>
      <c r="J39" s="127">
        <v>5984278</v>
      </c>
      <c r="K39" s="127">
        <v>5944240</v>
      </c>
      <c r="L39" s="127">
        <v>5908924</v>
      </c>
      <c r="M39" s="127">
        <v>5857941</v>
      </c>
      <c r="N39" s="127">
        <v>6583022</v>
      </c>
      <c r="O39" s="127">
        <v>6569887</v>
      </c>
      <c r="P39" s="127">
        <v>6555131</v>
      </c>
      <c r="Q39" s="127">
        <v>6538496</v>
      </c>
      <c r="R39" s="127">
        <v>6513541</v>
      </c>
      <c r="S39" s="127">
        <v>6513321</v>
      </c>
      <c r="T39" s="127">
        <v>6453328</v>
      </c>
      <c r="U39" s="127">
        <v>6421156</v>
      </c>
      <c r="V39" s="127">
        <v>4808198</v>
      </c>
      <c r="W39" s="127">
        <v>4780053</v>
      </c>
    </row>
    <row r="40" spans="1:23" s="34" customFormat="1" ht="20.45" customHeight="1" x14ac:dyDescent="0.25">
      <c r="A40"/>
      <c r="B40" s="300" t="s">
        <v>371</v>
      </c>
      <c r="C40" s="127">
        <v>0</v>
      </c>
      <c r="D40" s="127">
        <v>0</v>
      </c>
      <c r="E40" s="127">
        <v>0</v>
      </c>
      <c r="F40" s="127" t="s">
        <v>5</v>
      </c>
      <c r="G40" s="127" t="s">
        <v>5</v>
      </c>
      <c r="H40" s="127" t="s">
        <v>5</v>
      </c>
      <c r="I40" s="127" t="s">
        <v>5</v>
      </c>
      <c r="J40" s="127">
        <v>271196</v>
      </c>
      <c r="K40" s="127">
        <v>270951</v>
      </c>
      <c r="L40" s="127" t="s">
        <v>5</v>
      </c>
      <c r="M40" s="127" t="s">
        <v>5</v>
      </c>
      <c r="N40" s="127" t="s">
        <v>5</v>
      </c>
      <c r="O40" s="127" t="s">
        <v>5</v>
      </c>
      <c r="P40" s="127" t="s">
        <v>5</v>
      </c>
      <c r="Q40" s="127" t="s">
        <v>5</v>
      </c>
      <c r="R40" s="127">
        <v>633</v>
      </c>
      <c r="S40" s="127" t="s">
        <v>5</v>
      </c>
      <c r="T40" s="127" t="s">
        <v>5</v>
      </c>
      <c r="U40" s="127" t="s">
        <v>5</v>
      </c>
      <c r="V40" s="127" t="s">
        <v>5</v>
      </c>
      <c r="W40" s="127" t="s">
        <v>5</v>
      </c>
    </row>
    <row r="41" spans="1:23" s="34" customFormat="1" ht="20.45" customHeight="1" x14ac:dyDescent="0.25">
      <c r="A41"/>
      <c r="B41" s="51" t="s">
        <v>372</v>
      </c>
      <c r="C41" s="127">
        <v>277055</v>
      </c>
      <c r="D41" s="127">
        <v>683208</v>
      </c>
      <c r="E41" s="127">
        <v>664275</v>
      </c>
      <c r="F41" s="127">
        <v>633547</v>
      </c>
      <c r="G41" s="127">
        <v>607684</v>
      </c>
      <c r="H41" s="127">
        <v>1873038</v>
      </c>
      <c r="I41" s="127">
        <v>1808074</v>
      </c>
      <c r="J41" s="127">
        <v>1723626</v>
      </c>
      <c r="K41" s="127">
        <v>213869</v>
      </c>
      <c r="L41" s="127">
        <v>2366849</v>
      </c>
      <c r="M41" s="127">
        <v>2318910</v>
      </c>
      <c r="N41" s="127">
        <v>2262966</v>
      </c>
      <c r="O41" s="127">
        <v>2233992</v>
      </c>
      <c r="P41" s="127">
        <v>3023426</v>
      </c>
      <c r="Q41" s="127">
        <v>3569837</v>
      </c>
      <c r="R41" s="127">
        <v>3535250</v>
      </c>
      <c r="S41" s="127">
        <v>3522442</v>
      </c>
      <c r="T41" s="127">
        <v>4217114</v>
      </c>
      <c r="U41" s="127">
        <v>4193329</v>
      </c>
      <c r="V41" s="127">
        <v>4154916</v>
      </c>
      <c r="W41" s="127">
        <v>4110513</v>
      </c>
    </row>
    <row r="42" spans="1:23" s="34" customFormat="1" ht="20.45" customHeight="1" x14ac:dyDescent="0.25">
      <c r="A42"/>
      <c r="B42" s="300" t="s">
        <v>380</v>
      </c>
      <c r="C42" s="127">
        <v>0</v>
      </c>
      <c r="D42" s="127">
        <v>0</v>
      </c>
      <c r="E42" s="127">
        <v>0</v>
      </c>
      <c r="F42" s="127" t="s">
        <v>5</v>
      </c>
      <c r="G42" s="127" t="s">
        <v>5</v>
      </c>
      <c r="H42" s="127" t="s">
        <v>5</v>
      </c>
      <c r="I42" s="127" t="s">
        <v>5</v>
      </c>
      <c r="J42" s="127" t="s">
        <v>5</v>
      </c>
      <c r="K42" s="127" t="s">
        <v>5</v>
      </c>
      <c r="L42" s="127" t="s">
        <v>5</v>
      </c>
      <c r="M42" s="127" t="s">
        <v>5</v>
      </c>
      <c r="N42" s="127" t="s">
        <v>5</v>
      </c>
      <c r="O42" s="127" t="s">
        <v>5</v>
      </c>
      <c r="P42" s="127" t="s">
        <v>5</v>
      </c>
      <c r="Q42" s="127" t="s">
        <v>5</v>
      </c>
      <c r="R42" s="127" t="s">
        <v>381</v>
      </c>
      <c r="S42" s="127">
        <v>505641</v>
      </c>
      <c r="T42" s="127">
        <v>503653</v>
      </c>
      <c r="U42" s="127">
        <v>482841</v>
      </c>
      <c r="V42" s="127">
        <v>451767</v>
      </c>
      <c r="W42" s="127">
        <v>441094</v>
      </c>
    </row>
    <row r="43" spans="1:23" s="34" customFormat="1" ht="20.45" customHeight="1" x14ac:dyDescent="0.25">
      <c r="A43"/>
      <c r="B43" s="51" t="s">
        <v>374</v>
      </c>
      <c r="C43" s="127">
        <v>354235</v>
      </c>
      <c r="D43" s="127">
        <v>355287</v>
      </c>
      <c r="E43" s="127">
        <v>354404</v>
      </c>
      <c r="F43" s="127">
        <v>333422</v>
      </c>
      <c r="G43" s="127">
        <v>340578</v>
      </c>
      <c r="H43" s="127">
        <v>334048</v>
      </c>
      <c r="I43" s="127">
        <v>297195</v>
      </c>
      <c r="J43" s="127">
        <v>215402</v>
      </c>
      <c r="K43" s="127">
        <v>183666</v>
      </c>
      <c r="L43" s="127">
        <v>180596</v>
      </c>
      <c r="M43" s="127">
        <v>182437</v>
      </c>
      <c r="N43" s="127">
        <v>183064</v>
      </c>
      <c r="O43" s="127">
        <v>169101</v>
      </c>
      <c r="P43" s="127">
        <v>173390</v>
      </c>
      <c r="Q43" s="127">
        <v>178704</v>
      </c>
      <c r="R43" s="127">
        <v>175158</v>
      </c>
      <c r="S43" s="127">
        <v>180000</v>
      </c>
      <c r="T43" s="127">
        <v>191780</v>
      </c>
      <c r="U43" s="127">
        <v>202747</v>
      </c>
      <c r="V43" s="127">
        <v>212613</v>
      </c>
      <c r="W43" s="127">
        <v>219640</v>
      </c>
    </row>
    <row r="44" spans="1:23" s="34" customFormat="1" ht="20.45" customHeight="1" x14ac:dyDescent="0.25">
      <c r="A44"/>
      <c r="B44" s="52" t="s">
        <v>375</v>
      </c>
      <c r="C44" s="148">
        <v>157397</v>
      </c>
      <c r="D44" s="148">
        <v>159093</v>
      </c>
      <c r="E44" s="148">
        <v>179578</v>
      </c>
      <c r="F44" s="148">
        <v>194213</v>
      </c>
      <c r="G44" s="148">
        <v>220994</v>
      </c>
      <c r="H44" s="148">
        <v>254790</v>
      </c>
      <c r="I44" s="148">
        <v>252801</v>
      </c>
      <c r="J44" s="148">
        <v>235385</v>
      </c>
      <c r="K44" s="148">
        <v>248000</v>
      </c>
      <c r="L44" s="148">
        <v>242488</v>
      </c>
      <c r="M44" s="148">
        <v>240793</v>
      </c>
      <c r="N44" s="148">
        <v>227333</v>
      </c>
      <c r="O44" s="148">
        <v>222757</v>
      </c>
      <c r="P44" s="148">
        <v>218161</v>
      </c>
      <c r="Q44" s="148">
        <v>180863</v>
      </c>
      <c r="R44" s="148">
        <v>142077</v>
      </c>
      <c r="S44" s="148">
        <v>116513</v>
      </c>
      <c r="T44" s="148">
        <v>104510</v>
      </c>
      <c r="U44" s="148">
        <v>96611</v>
      </c>
      <c r="V44" s="148">
        <v>98912</v>
      </c>
      <c r="W44" s="148">
        <v>96223</v>
      </c>
    </row>
    <row r="45" spans="1:23" ht="20.25" customHeight="1" x14ac:dyDescent="0.25">
      <c r="A45" s="34"/>
      <c r="B45" s="95" t="s">
        <v>359</v>
      </c>
      <c r="C45" s="149">
        <v>16435898</v>
      </c>
      <c r="D45" s="149">
        <f>SUM(D34:D44)</f>
        <v>19173885</v>
      </c>
      <c r="E45" s="149">
        <v>17252071</v>
      </c>
      <c r="F45" s="149">
        <v>21015762</v>
      </c>
      <c r="G45" s="149">
        <v>20800787</v>
      </c>
      <c r="H45" s="149">
        <v>20266126</v>
      </c>
      <c r="I45" s="149">
        <v>20682393</v>
      </c>
      <c r="J45" s="149">
        <v>21863149</v>
      </c>
      <c r="K45" s="149">
        <v>21660738</v>
      </c>
      <c r="L45" s="149">
        <v>20741894</v>
      </c>
      <c r="M45" s="149">
        <v>21896450</v>
      </c>
      <c r="N45" s="149">
        <v>22354827</v>
      </c>
      <c r="O45" s="149">
        <v>24445949</v>
      </c>
      <c r="P45" s="149">
        <v>26053271</v>
      </c>
      <c r="Q45" s="149">
        <v>26915517</v>
      </c>
      <c r="R45" s="149">
        <v>26945157</v>
      </c>
      <c r="S45" s="149">
        <v>26604927</v>
      </c>
      <c r="T45" s="149">
        <v>26793072</v>
      </c>
      <c r="U45" s="149">
        <v>26458648</v>
      </c>
      <c r="V45" s="149">
        <v>25076949</v>
      </c>
      <c r="W45" s="149">
        <v>22347998</v>
      </c>
    </row>
    <row r="46" spans="1:23" ht="20.25" customHeight="1" x14ac:dyDescent="0.25">
      <c r="B46" s="95" t="s">
        <v>382</v>
      </c>
      <c r="C46" s="149">
        <v>30063149</v>
      </c>
      <c r="D46" s="149">
        <f>D45+D31</f>
        <v>32021876</v>
      </c>
      <c r="E46" s="149">
        <v>30344887</v>
      </c>
      <c r="F46" s="149">
        <v>31731462</v>
      </c>
      <c r="G46" s="149">
        <v>30928429</v>
      </c>
      <c r="H46" s="149">
        <v>31287930</v>
      </c>
      <c r="I46" s="149">
        <v>31887571</v>
      </c>
      <c r="J46" s="149">
        <v>33434834</v>
      </c>
      <c r="K46" s="149">
        <v>32853003</v>
      </c>
      <c r="L46" s="149">
        <v>30394764</v>
      </c>
      <c r="M46" s="149">
        <v>32584043</v>
      </c>
      <c r="N46" s="149">
        <v>32849311</v>
      </c>
      <c r="O46" s="149">
        <v>33993246</v>
      </c>
      <c r="P46" s="149">
        <v>35111227</v>
      </c>
      <c r="Q46" s="149">
        <v>36605732</v>
      </c>
      <c r="R46" s="149">
        <v>36023916</v>
      </c>
      <c r="S46" s="149">
        <v>35658078</v>
      </c>
      <c r="T46" s="149">
        <v>34548170</v>
      </c>
      <c r="U46" s="149">
        <v>34423219</v>
      </c>
      <c r="V46" s="149">
        <v>32851037</v>
      </c>
      <c r="W46" s="149">
        <v>46695691</v>
      </c>
    </row>
    <row r="47" spans="1:23" ht="20.25" customHeight="1" x14ac:dyDescent="0.25">
      <c r="B47" s="95"/>
      <c r="C47" s="127"/>
      <c r="D47" s="127"/>
      <c r="E47" s="127"/>
      <c r="F47" s="127"/>
      <c r="G47" s="127"/>
      <c r="H47" s="127"/>
      <c r="I47" s="127"/>
      <c r="J47" s="127"/>
      <c r="K47" s="127"/>
      <c r="L47" s="127"/>
      <c r="M47" s="127"/>
      <c r="N47" s="127"/>
      <c r="O47" s="127"/>
      <c r="P47" s="127"/>
      <c r="Q47" s="127"/>
      <c r="R47" s="127"/>
      <c r="S47" s="127"/>
      <c r="T47" s="127"/>
      <c r="U47" s="127"/>
      <c r="V47" s="127"/>
      <c r="W47" s="127"/>
    </row>
    <row r="48" spans="1:23" ht="20.25" customHeight="1" x14ac:dyDescent="0.25">
      <c r="B48" s="98" t="s">
        <v>383</v>
      </c>
      <c r="C48" s="127"/>
      <c r="D48" s="127"/>
      <c r="E48" s="127"/>
      <c r="F48" s="127"/>
      <c r="G48" s="127"/>
      <c r="H48" s="127"/>
      <c r="I48" s="127"/>
      <c r="J48" s="127"/>
      <c r="K48" s="127"/>
      <c r="L48" s="127"/>
      <c r="M48" s="127"/>
      <c r="N48" s="127"/>
      <c r="O48" s="127"/>
      <c r="P48" s="127"/>
      <c r="Q48" s="127"/>
      <c r="R48" s="127"/>
      <c r="S48" s="127"/>
      <c r="T48" s="127"/>
      <c r="U48" s="127"/>
      <c r="V48" s="127"/>
      <c r="W48" s="127"/>
    </row>
    <row r="49" spans="2:23" ht="18" customHeight="1" x14ac:dyDescent="0.25">
      <c r="B49" s="51" t="s">
        <v>384</v>
      </c>
      <c r="C49" s="127">
        <v>14308909</v>
      </c>
      <c r="D49" s="127">
        <v>11006853</v>
      </c>
      <c r="E49" s="127">
        <v>11006853</v>
      </c>
      <c r="F49" s="127">
        <v>11006853</v>
      </c>
      <c r="G49" s="127">
        <v>11006853</v>
      </c>
      <c r="H49" s="127">
        <v>11006853</v>
      </c>
      <c r="I49" s="127">
        <v>11006853</v>
      </c>
      <c r="J49" s="127">
        <v>11006853</v>
      </c>
      <c r="K49" s="127">
        <v>11006853</v>
      </c>
      <c r="L49" s="127">
        <v>8466810</v>
      </c>
      <c r="M49" s="127">
        <v>8466810</v>
      </c>
      <c r="N49" s="127">
        <v>8466810</v>
      </c>
      <c r="O49" s="127">
        <v>8466810</v>
      </c>
      <c r="P49" s="127">
        <v>7593763</v>
      </c>
      <c r="Q49" s="127">
        <v>7593763</v>
      </c>
      <c r="R49" s="127">
        <v>7593763</v>
      </c>
      <c r="S49" s="127">
        <v>7293763</v>
      </c>
      <c r="T49" s="127">
        <v>7293763</v>
      </c>
      <c r="U49" s="127">
        <v>7293763</v>
      </c>
      <c r="V49" s="127">
        <v>7293763</v>
      </c>
      <c r="W49" s="127">
        <v>7293763</v>
      </c>
    </row>
    <row r="50" spans="2:23" x14ac:dyDescent="0.25">
      <c r="B50" s="51" t="s">
        <v>385</v>
      </c>
      <c r="C50" s="127">
        <v>393093</v>
      </c>
      <c r="D50" s="127">
        <v>2249721</v>
      </c>
      <c r="E50" s="127">
        <v>2249721</v>
      </c>
      <c r="F50" s="127">
        <v>2249721</v>
      </c>
      <c r="G50" s="127">
        <v>2249721</v>
      </c>
      <c r="H50" s="127">
        <v>2249721</v>
      </c>
      <c r="I50" s="127">
        <v>2249721</v>
      </c>
      <c r="J50" s="127">
        <v>2249721</v>
      </c>
      <c r="K50" s="127">
        <v>2249721</v>
      </c>
      <c r="L50" s="127">
        <v>2249721</v>
      </c>
      <c r="M50" s="127">
        <v>2249721</v>
      </c>
      <c r="N50" s="127">
        <v>2249721</v>
      </c>
      <c r="O50" s="127">
        <v>2249721</v>
      </c>
      <c r="P50" s="127">
        <v>2249721</v>
      </c>
      <c r="Q50" s="127">
        <v>2249721</v>
      </c>
      <c r="R50" s="127">
        <v>2249721</v>
      </c>
      <c r="S50" s="127">
        <v>2249721</v>
      </c>
      <c r="T50" s="127">
        <v>2249721</v>
      </c>
      <c r="U50" s="127">
        <v>2249721</v>
      </c>
      <c r="V50" s="127">
        <v>2249721</v>
      </c>
      <c r="W50" s="127">
        <v>2249721</v>
      </c>
    </row>
    <row r="51" spans="2:23" x14ac:dyDescent="0.25">
      <c r="B51" s="51" t="s">
        <v>386</v>
      </c>
      <c r="C51" s="127">
        <v>11595308</v>
      </c>
      <c r="D51" s="127">
        <v>13040736</v>
      </c>
      <c r="E51" s="127">
        <v>13040736</v>
      </c>
      <c r="F51" s="127">
        <v>10394823</v>
      </c>
      <c r="G51" s="127">
        <v>10394823</v>
      </c>
      <c r="H51" s="127">
        <v>10394823</v>
      </c>
      <c r="I51" s="127">
        <v>10394823</v>
      </c>
      <c r="J51" s="127">
        <v>8408051</v>
      </c>
      <c r="K51" s="127">
        <v>8408051</v>
      </c>
      <c r="L51" s="127">
        <v>10703094</v>
      </c>
      <c r="M51" s="127">
        <v>10948094</v>
      </c>
      <c r="N51" s="127">
        <v>9187558</v>
      </c>
      <c r="O51" s="127">
        <v>9187558</v>
      </c>
      <c r="P51" s="127">
        <v>10060605</v>
      </c>
      <c r="Q51" s="127">
        <v>10060605</v>
      </c>
      <c r="R51" s="127">
        <v>8450928</v>
      </c>
      <c r="S51" s="127">
        <v>8750928</v>
      </c>
      <c r="T51" s="127">
        <v>8750928</v>
      </c>
      <c r="U51" s="127">
        <v>8750051</v>
      </c>
      <c r="V51" s="127">
        <v>6360856</v>
      </c>
      <c r="W51" s="127">
        <v>6360856</v>
      </c>
    </row>
    <row r="52" spans="2:23" x14ac:dyDescent="0.25">
      <c r="B52" s="51" t="s">
        <v>387</v>
      </c>
      <c r="C52" s="127">
        <v>-1661128</v>
      </c>
      <c r="D52" s="127">
        <v>-1658106</v>
      </c>
      <c r="E52" s="127">
        <v>-1648075</v>
      </c>
      <c r="F52" s="127">
        <v>-1836868</v>
      </c>
      <c r="G52" s="127">
        <v>-1833851</v>
      </c>
      <c r="H52" s="150">
        <v>-1836916</v>
      </c>
      <c r="I52" s="150">
        <v>-1874041</v>
      </c>
      <c r="J52" s="150">
        <v>-2217950</v>
      </c>
      <c r="K52" s="150">
        <v>-2214579</v>
      </c>
      <c r="L52" s="150">
        <v>-2211204</v>
      </c>
      <c r="M52" s="150">
        <v>-2208214</v>
      </c>
      <c r="N52" s="150">
        <v>-2442246</v>
      </c>
      <c r="O52" s="150">
        <v>-2438406</v>
      </c>
      <c r="P52" s="150">
        <v>-2435407</v>
      </c>
      <c r="Q52" s="150">
        <v>-2431423</v>
      </c>
      <c r="R52" s="150">
        <v>-2420179</v>
      </c>
      <c r="S52" s="150">
        <v>-2415245</v>
      </c>
      <c r="T52" s="150">
        <v>-2410645</v>
      </c>
      <c r="U52" s="150">
        <v>-2406920</v>
      </c>
      <c r="V52" s="150">
        <v>-1343995</v>
      </c>
      <c r="W52" s="150">
        <v>-1339234</v>
      </c>
    </row>
    <row r="53" spans="2:23" x14ac:dyDescent="0.25">
      <c r="B53" s="51" t="s">
        <v>388</v>
      </c>
      <c r="C53" s="151">
        <v>2036654</v>
      </c>
      <c r="D53" s="151">
        <v>775348</v>
      </c>
      <c r="E53" s="151">
        <v>0</v>
      </c>
      <c r="F53" s="151">
        <v>2613255</v>
      </c>
      <c r="G53" s="151">
        <v>1791504</v>
      </c>
      <c r="H53" s="148">
        <v>976584</v>
      </c>
      <c r="I53" s="152" t="s">
        <v>5</v>
      </c>
      <c r="J53" s="148">
        <v>1627177</v>
      </c>
      <c r="K53" s="148">
        <v>913467</v>
      </c>
      <c r="L53" s="148">
        <v>1458572</v>
      </c>
      <c r="M53" s="148" t="s">
        <v>5</v>
      </c>
      <c r="N53" s="148">
        <v>2800312</v>
      </c>
      <c r="O53" s="148">
        <v>2375421</v>
      </c>
      <c r="P53" s="148">
        <v>426185</v>
      </c>
      <c r="Q53" s="148" t="s">
        <v>5</v>
      </c>
      <c r="R53" s="148">
        <v>1423435</v>
      </c>
      <c r="S53" s="148">
        <v>993437</v>
      </c>
      <c r="T53" s="148">
        <v>-54969</v>
      </c>
      <c r="U53" s="148">
        <v>211640</v>
      </c>
      <c r="V53" s="148">
        <v>2646952</v>
      </c>
      <c r="W53" s="148">
        <v>2924406</v>
      </c>
    </row>
    <row r="54" spans="2:23" x14ac:dyDescent="0.25">
      <c r="B54" s="27" t="s">
        <v>389</v>
      </c>
      <c r="C54" s="153">
        <v>26672836</v>
      </c>
      <c r="D54" s="153">
        <f>SUM(D49:D53)</f>
        <v>25414552</v>
      </c>
      <c r="E54" s="153">
        <v>24649235</v>
      </c>
      <c r="F54" s="153">
        <v>24427784</v>
      </c>
      <c r="G54" s="153">
        <v>23609050</v>
      </c>
      <c r="H54" s="153">
        <v>22791065</v>
      </c>
      <c r="I54" s="153">
        <v>21777356</v>
      </c>
      <c r="J54" s="153">
        <v>21073852</v>
      </c>
      <c r="K54" s="153">
        <v>20363513</v>
      </c>
      <c r="L54" s="153">
        <v>20666993</v>
      </c>
      <c r="M54" s="153">
        <v>19456411</v>
      </c>
      <c r="N54" s="153">
        <v>20262155</v>
      </c>
      <c r="O54" s="153">
        <v>19841104</v>
      </c>
      <c r="P54" s="153">
        <v>17894867</v>
      </c>
      <c r="Q54" s="153">
        <v>17472666</v>
      </c>
      <c r="R54" s="153">
        <v>17297668</v>
      </c>
      <c r="S54" s="153">
        <v>16872604</v>
      </c>
      <c r="T54" s="153">
        <v>15828798</v>
      </c>
      <c r="U54" s="153">
        <v>16098255</v>
      </c>
      <c r="V54" s="153">
        <v>17207297</v>
      </c>
      <c r="W54" s="153">
        <v>17489512</v>
      </c>
    </row>
    <row r="55" spans="2:23" x14ac:dyDescent="0.25">
      <c r="B55" s="25" t="s">
        <v>390</v>
      </c>
      <c r="C55" s="148">
        <v>4788</v>
      </c>
      <c r="D55" s="148">
        <v>5602</v>
      </c>
      <c r="E55" s="148">
        <v>5958</v>
      </c>
      <c r="F55" s="148">
        <v>6184</v>
      </c>
      <c r="G55" s="148">
        <v>5585</v>
      </c>
      <c r="H55" s="148">
        <v>6365</v>
      </c>
      <c r="I55" s="148">
        <v>5910</v>
      </c>
      <c r="J55" s="148">
        <v>5355</v>
      </c>
      <c r="K55" s="148">
        <v>4870</v>
      </c>
      <c r="L55" s="148">
        <v>5635</v>
      </c>
      <c r="M55" s="148">
        <v>5354</v>
      </c>
      <c r="N55" s="148">
        <v>5200</v>
      </c>
      <c r="O55" s="148">
        <v>4904</v>
      </c>
      <c r="P55" s="148">
        <v>4960</v>
      </c>
      <c r="Q55" s="148">
        <v>4682</v>
      </c>
      <c r="R55" s="148">
        <v>4573</v>
      </c>
      <c r="S55" s="148">
        <v>4458</v>
      </c>
      <c r="T55" s="148">
        <v>4519</v>
      </c>
      <c r="U55" s="148">
        <v>4250</v>
      </c>
      <c r="V55" s="148">
        <v>4338</v>
      </c>
      <c r="W55" s="148">
        <v>1370780</v>
      </c>
    </row>
    <row r="56" spans="2:23" x14ac:dyDescent="0.25">
      <c r="B56" s="27" t="s">
        <v>391</v>
      </c>
      <c r="C56" s="149">
        <v>26677624</v>
      </c>
      <c r="D56" s="149">
        <f>D55+D54</f>
        <v>25420154</v>
      </c>
      <c r="E56" s="149">
        <v>24655193</v>
      </c>
      <c r="F56" s="149">
        <v>24433968</v>
      </c>
      <c r="G56" s="149">
        <v>23614635</v>
      </c>
      <c r="H56" s="149">
        <v>22797430</v>
      </c>
      <c r="I56" s="149">
        <v>21783266</v>
      </c>
      <c r="J56" s="149">
        <v>21079207</v>
      </c>
      <c r="K56" s="149">
        <v>20368383</v>
      </c>
      <c r="L56" s="149">
        <v>20672628</v>
      </c>
      <c r="M56" s="149">
        <v>19461765</v>
      </c>
      <c r="N56" s="149">
        <v>20267355</v>
      </c>
      <c r="O56" s="149">
        <v>19846008</v>
      </c>
      <c r="P56" s="149">
        <v>17899827</v>
      </c>
      <c r="Q56" s="149">
        <v>17477348</v>
      </c>
      <c r="R56" s="149">
        <v>17302241</v>
      </c>
      <c r="S56" s="149">
        <v>16877062</v>
      </c>
      <c r="T56" s="149">
        <v>15833317</v>
      </c>
      <c r="U56" s="149">
        <v>16102505</v>
      </c>
      <c r="V56" s="149">
        <v>17211635</v>
      </c>
      <c r="W56" s="149">
        <v>18860292</v>
      </c>
    </row>
    <row r="57" spans="2:23" ht="15.75" thickBot="1" x14ac:dyDescent="0.3">
      <c r="B57" s="27" t="s">
        <v>392</v>
      </c>
      <c r="C57" s="154">
        <v>56740773</v>
      </c>
      <c r="D57" s="154">
        <f>D56+D46</f>
        <v>57442030</v>
      </c>
      <c r="E57" s="154">
        <v>55000080</v>
      </c>
      <c r="F57" s="154">
        <v>56165430</v>
      </c>
      <c r="G57" s="154">
        <v>54543064</v>
      </c>
      <c r="H57" s="154">
        <v>54085360</v>
      </c>
      <c r="I57" s="154">
        <v>53670837</v>
      </c>
      <c r="J57" s="154">
        <v>54514041</v>
      </c>
      <c r="K57" s="154">
        <v>53221386</v>
      </c>
      <c r="L57" s="154">
        <v>51067392</v>
      </c>
      <c r="M57" s="154">
        <v>52045808</v>
      </c>
      <c r="N57" s="154">
        <v>53116666</v>
      </c>
      <c r="O57" s="154">
        <v>53839254</v>
      </c>
      <c r="P57" s="154">
        <v>53011054</v>
      </c>
      <c r="Q57" s="154">
        <v>54083080</v>
      </c>
      <c r="R57" s="154">
        <v>53326157</v>
      </c>
      <c r="S57" s="154">
        <v>52535140</v>
      </c>
      <c r="T57" s="154">
        <v>50381487</v>
      </c>
      <c r="U57" s="154">
        <v>50525724</v>
      </c>
      <c r="V57" s="154">
        <v>50062672</v>
      </c>
      <c r="W57" s="154">
        <v>65555983</v>
      </c>
    </row>
    <row r="58" spans="2:23" ht="15.75" thickTop="1" x14ac:dyDescent="0.25">
      <c r="E58" s="112">
        <f>SUM(E12:E28)-E29</f>
        <v>0</v>
      </c>
      <c r="F58" s="112">
        <f t="shared" ref="F58:W58" si="0">SUM(F12:F28)-F29</f>
        <v>0</v>
      </c>
      <c r="G58" s="112">
        <f t="shared" si="0"/>
        <v>0</v>
      </c>
      <c r="H58" s="112">
        <f t="shared" si="0"/>
        <v>0</v>
      </c>
      <c r="I58" s="112">
        <f t="shared" si="0"/>
        <v>0</v>
      </c>
      <c r="J58" s="112">
        <f t="shared" si="0"/>
        <v>0</v>
      </c>
      <c r="K58" s="112">
        <f t="shared" si="0"/>
        <v>0</v>
      </c>
      <c r="L58" s="112">
        <f t="shared" si="0"/>
        <v>0</v>
      </c>
      <c r="M58" s="112">
        <f t="shared" si="0"/>
        <v>0</v>
      </c>
      <c r="N58" s="112">
        <f t="shared" si="0"/>
        <v>0</v>
      </c>
      <c r="O58" s="112">
        <f t="shared" si="0"/>
        <v>0</v>
      </c>
      <c r="P58" s="112">
        <f t="shared" si="0"/>
        <v>0</v>
      </c>
      <c r="Q58" s="112">
        <f t="shared" si="0"/>
        <v>0</v>
      </c>
      <c r="R58" s="112">
        <f t="shared" si="0"/>
        <v>0</v>
      </c>
      <c r="S58" s="112">
        <f t="shared" si="0"/>
        <v>0</v>
      </c>
      <c r="T58" s="112">
        <f t="shared" si="0"/>
        <v>0</v>
      </c>
      <c r="U58" s="112">
        <f t="shared" si="0"/>
        <v>0</v>
      </c>
      <c r="V58" s="112">
        <f t="shared" si="0"/>
        <v>0</v>
      </c>
      <c r="W58" s="112">
        <f t="shared" si="0"/>
        <v>0</v>
      </c>
    </row>
    <row r="59" spans="2:23" x14ac:dyDescent="0.25">
      <c r="E59" s="112">
        <f>E30+E29-E31</f>
        <v>0</v>
      </c>
      <c r="F59" s="112">
        <f t="shared" ref="F59:W59" si="1">F30+F29-F31</f>
        <v>0</v>
      </c>
      <c r="G59" s="112">
        <f t="shared" si="1"/>
        <v>0</v>
      </c>
      <c r="H59" s="112">
        <f t="shared" si="1"/>
        <v>0</v>
      </c>
      <c r="I59" s="112">
        <f t="shared" si="1"/>
        <v>0</v>
      </c>
      <c r="J59" s="112">
        <f t="shared" si="1"/>
        <v>0</v>
      </c>
      <c r="K59" s="112">
        <f t="shared" si="1"/>
        <v>0</v>
      </c>
      <c r="L59" s="112">
        <f t="shared" si="1"/>
        <v>0</v>
      </c>
      <c r="M59" s="112">
        <f t="shared" si="1"/>
        <v>0</v>
      </c>
      <c r="N59" s="112">
        <f t="shared" si="1"/>
        <v>0</v>
      </c>
      <c r="O59" s="112">
        <f t="shared" si="1"/>
        <v>0</v>
      </c>
      <c r="P59" s="112">
        <f t="shared" si="1"/>
        <v>0</v>
      </c>
      <c r="Q59" s="112">
        <f t="shared" si="1"/>
        <v>0</v>
      </c>
      <c r="R59" s="112">
        <f t="shared" si="1"/>
        <v>0</v>
      </c>
      <c r="S59" s="112">
        <f t="shared" si="1"/>
        <v>0</v>
      </c>
      <c r="T59" s="112">
        <f t="shared" si="1"/>
        <v>0</v>
      </c>
      <c r="U59" s="112">
        <f t="shared" si="1"/>
        <v>0</v>
      </c>
      <c r="V59" s="112">
        <f t="shared" si="1"/>
        <v>0</v>
      </c>
      <c r="W59" s="112">
        <f t="shared" si="1"/>
        <v>0</v>
      </c>
    </row>
    <row r="60" spans="2:23" hidden="1" x14ac:dyDescent="0.25">
      <c r="E60" s="112"/>
      <c r="F60" s="112"/>
      <c r="G60" s="112"/>
      <c r="H60" s="112"/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</row>
    <row r="61" spans="2:23" hidden="1" x14ac:dyDescent="0.25"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Q61" s="112"/>
      <c r="R61" s="112"/>
      <c r="S61" s="112"/>
      <c r="T61" s="112"/>
      <c r="U61" s="112"/>
      <c r="V61" s="112"/>
      <c r="W61" s="112"/>
    </row>
    <row r="62" spans="2:23" hidden="1" x14ac:dyDescent="0.25"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</row>
    <row r="63" spans="2:23" hidden="1" x14ac:dyDescent="0.25">
      <c r="E63" s="112"/>
      <c r="F63" s="112"/>
      <c r="G63" s="112"/>
      <c r="H63" s="112"/>
      <c r="I63" s="112"/>
      <c r="J63" s="112"/>
      <c r="K63" s="112"/>
      <c r="L63" s="112"/>
      <c r="M63" s="112"/>
      <c r="N63" s="112"/>
      <c r="O63" s="112"/>
      <c r="P63" s="112"/>
      <c r="Q63" s="112"/>
      <c r="R63" s="112"/>
      <c r="S63" s="112"/>
      <c r="T63" s="112"/>
      <c r="U63" s="112"/>
      <c r="V63" s="112"/>
      <c r="W63" s="112"/>
    </row>
    <row r="64" spans="2:23" hidden="1" x14ac:dyDescent="0.25">
      <c r="E64" s="112"/>
      <c r="F64" s="112"/>
      <c r="G64" s="112"/>
      <c r="H64" s="112"/>
      <c r="I64" s="112"/>
      <c r="J64" s="112"/>
      <c r="K64" s="112"/>
      <c r="L64" s="112"/>
      <c r="M64" s="112"/>
      <c r="N64" s="112"/>
      <c r="O64" s="112"/>
      <c r="P64" s="112"/>
      <c r="Q64" s="112"/>
      <c r="R64" s="112"/>
      <c r="S64" s="112"/>
      <c r="T64" s="112"/>
      <c r="U64" s="112"/>
      <c r="V64" s="112"/>
      <c r="W64" s="112"/>
    </row>
    <row r="65" spans="5:23" hidden="1" x14ac:dyDescent="0.25">
      <c r="E65" s="112"/>
      <c r="F65" s="112"/>
      <c r="G65" s="112"/>
      <c r="H65" s="112"/>
      <c r="I65" s="112"/>
      <c r="J65" s="112"/>
      <c r="K65" s="112"/>
      <c r="L65" s="112"/>
      <c r="M65" s="112"/>
      <c r="N65" s="112"/>
      <c r="O65" s="112"/>
      <c r="P65" s="112"/>
      <c r="Q65" s="112"/>
      <c r="R65" s="112"/>
      <c r="S65" s="112"/>
      <c r="T65" s="112"/>
      <c r="U65" s="112"/>
      <c r="V65" s="112"/>
      <c r="W65" s="112"/>
    </row>
    <row r="66" spans="5:23" hidden="1" x14ac:dyDescent="0.25">
      <c r="E66" s="112"/>
      <c r="F66" s="112"/>
      <c r="G66" s="112"/>
      <c r="H66" s="112"/>
      <c r="I66" s="112"/>
      <c r="J66" s="112"/>
      <c r="K66" s="112"/>
      <c r="L66" s="112"/>
      <c r="M66" s="112"/>
      <c r="N66" s="112"/>
      <c r="O66" s="112"/>
      <c r="P66" s="112"/>
      <c r="Q66" s="112"/>
      <c r="R66" s="112"/>
      <c r="S66" s="112"/>
      <c r="T66" s="112"/>
      <c r="U66" s="112"/>
      <c r="V66" s="112"/>
      <c r="W66" s="112"/>
    </row>
    <row r="67" spans="5:23" x14ac:dyDescent="0.25">
      <c r="E67" s="112">
        <f>SUM(E34:E44)-E45</f>
        <v>0</v>
      </c>
      <c r="F67" s="112">
        <f t="shared" ref="F67:W67" si="2">SUM(F34:F44)-F45</f>
        <v>0</v>
      </c>
      <c r="G67" s="112">
        <f t="shared" si="2"/>
        <v>0</v>
      </c>
      <c r="H67" s="112">
        <f t="shared" si="2"/>
        <v>0</v>
      </c>
      <c r="I67" s="112">
        <f t="shared" si="2"/>
        <v>0</v>
      </c>
      <c r="J67" s="112">
        <f t="shared" si="2"/>
        <v>0</v>
      </c>
      <c r="K67" s="112">
        <f t="shared" si="2"/>
        <v>0</v>
      </c>
      <c r="L67" s="112">
        <f t="shared" si="2"/>
        <v>0</v>
      </c>
      <c r="M67" s="112">
        <f t="shared" si="2"/>
        <v>0</v>
      </c>
      <c r="N67" s="112">
        <f t="shared" si="2"/>
        <v>0</v>
      </c>
      <c r="O67" s="112">
        <f t="shared" si="2"/>
        <v>0</v>
      </c>
      <c r="P67" s="112">
        <f t="shared" si="2"/>
        <v>0</v>
      </c>
      <c r="Q67" s="112">
        <f t="shared" si="2"/>
        <v>0</v>
      </c>
      <c r="R67" s="112">
        <f t="shared" si="2"/>
        <v>0</v>
      </c>
      <c r="S67" s="112">
        <f t="shared" si="2"/>
        <v>0</v>
      </c>
      <c r="T67" s="112">
        <f t="shared" si="2"/>
        <v>0</v>
      </c>
      <c r="U67" s="112">
        <f t="shared" si="2"/>
        <v>0</v>
      </c>
      <c r="V67" s="112">
        <f t="shared" si="2"/>
        <v>0</v>
      </c>
      <c r="W67" s="112">
        <f t="shared" si="2"/>
        <v>0</v>
      </c>
    </row>
    <row r="68" spans="5:23" x14ac:dyDescent="0.25">
      <c r="E68" s="112">
        <f>E45+E31-E46</f>
        <v>0</v>
      </c>
      <c r="F68" s="112">
        <f t="shared" ref="F68:W68" si="3">F45+F31-F46</f>
        <v>0</v>
      </c>
      <c r="G68" s="112">
        <f t="shared" si="3"/>
        <v>0</v>
      </c>
      <c r="H68" s="112">
        <f t="shared" si="3"/>
        <v>0</v>
      </c>
      <c r="I68" s="112">
        <f t="shared" si="3"/>
        <v>0</v>
      </c>
      <c r="J68" s="112">
        <f t="shared" si="3"/>
        <v>0</v>
      </c>
      <c r="K68" s="112">
        <f t="shared" si="3"/>
        <v>0</v>
      </c>
      <c r="L68" s="112">
        <f t="shared" si="3"/>
        <v>0</v>
      </c>
      <c r="M68" s="112">
        <f t="shared" si="3"/>
        <v>0</v>
      </c>
      <c r="N68" s="112">
        <f t="shared" si="3"/>
        <v>0</v>
      </c>
      <c r="O68" s="112">
        <f t="shared" si="3"/>
        <v>0</v>
      </c>
      <c r="P68" s="112">
        <f t="shared" si="3"/>
        <v>0</v>
      </c>
      <c r="Q68" s="112">
        <f t="shared" si="3"/>
        <v>0</v>
      </c>
      <c r="R68" s="112">
        <f t="shared" si="3"/>
        <v>0</v>
      </c>
      <c r="S68" s="112">
        <f t="shared" si="3"/>
        <v>0</v>
      </c>
      <c r="T68" s="112">
        <f t="shared" si="3"/>
        <v>0</v>
      </c>
      <c r="U68" s="112">
        <f t="shared" si="3"/>
        <v>0</v>
      </c>
      <c r="V68" s="112">
        <f t="shared" si="3"/>
        <v>0</v>
      </c>
      <c r="W68" s="112">
        <f t="shared" si="3"/>
        <v>0</v>
      </c>
    </row>
    <row r="69" spans="5:23" x14ac:dyDescent="0.25">
      <c r="E69" s="112">
        <f>SUM(E49:E53)-E54</f>
        <v>0</v>
      </c>
      <c r="F69" s="112">
        <f t="shared" ref="F69:W69" si="4">SUM(F49:F53)-F54</f>
        <v>0</v>
      </c>
      <c r="G69" s="112">
        <f t="shared" si="4"/>
        <v>0</v>
      </c>
      <c r="H69" s="112">
        <f t="shared" si="4"/>
        <v>0</v>
      </c>
      <c r="I69" s="112">
        <f t="shared" si="4"/>
        <v>0</v>
      </c>
      <c r="J69" s="112">
        <f t="shared" si="4"/>
        <v>0</v>
      </c>
      <c r="K69" s="112">
        <f t="shared" si="4"/>
        <v>0</v>
      </c>
      <c r="L69" s="112">
        <f t="shared" si="4"/>
        <v>0</v>
      </c>
      <c r="M69" s="112">
        <f t="shared" si="4"/>
        <v>0</v>
      </c>
      <c r="N69" s="112">
        <f t="shared" si="4"/>
        <v>0</v>
      </c>
      <c r="O69" s="112">
        <f t="shared" si="4"/>
        <v>0</v>
      </c>
      <c r="P69" s="112">
        <f t="shared" si="4"/>
        <v>0</v>
      </c>
      <c r="Q69" s="112">
        <f t="shared" si="4"/>
        <v>0</v>
      </c>
      <c r="R69" s="112">
        <f t="shared" si="4"/>
        <v>0</v>
      </c>
      <c r="S69" s="112">
        <f t="shared" si="4"/>
        <v>0</v>
      </c>
      <c r="T69" s="112">
        <f t="shared" si="4"/>
        <v>0</v>
      </c>
      <c r="U69" s="112">
        <f t="shared" si="4"/>
        <v>0</v>
      </c>
      <c r="V69" s="112">
        <f t="shared" si="4"/>
        <v>0</v>
      </c>
      <c r="W69" s="112">
        <f t="shared" si="4"/>
        <v>0</v>
      </c>
    </row>
    <row r="70" spans="5:23" x14ac:dyDescent="0.25">
      <c r="E70" s="112">
        <f>E54+E55-E56</f>
        <v>0</v>
      </c>
      <c r="F70" s="112">
        <f t="shared" ref="F70:W70" si="5">F54+F55-F56</f>
        <v>0</v>
      </c>
      <c r="G70" s="112">
        <f t="shared" si="5"/>
        <v>0</v>
      </c>
      <c r="H70" s="112">
        <f t="shared" si="5"/>
        <v>0</v>
      </c>
      <c r="I70" s="112">
        <f t="shared" si="5"/>
        <v>0</v>
      </c>
      <c r="J70" s="112">
        <f t="shared" si="5"/>
        <v>0</v>
      </c>
      <c r="K70" s="112">
        <f t="shared" si="5"/>
        <v>0</v>
      </c>
      <c r="L70" s="112">
        <f t="shared" si="5"/>
        <v>0</v>
      </c>
      <c r="M70" s="112">
        <f t="shared" si="5"/>
        <v>0</v>
      </c>
      <c r="N70" s="112">
        <f t="shared" si="5"/>
        <v>0</v>
      </c>
      <c r="O70" s="112">
        <f t="shared" si="5"/>
        <v>0</v>
      </c>
      <c r="P70" s="112">
        <f t="shared" si="5"/>
        <v>0</v>
      </c>
      <c r="Q70" s="112">
        <f t="shared" si="5"/>
        <v>0</v>
      </c>
      <c r="R70" s="112">
        <f t="shared" si="5"/>
        <v>0</v>
      </c>
      <c r="S70" s="112">
        <f t="shared" si="5"/>
        <v>0</v>
      </c>
      <c r="T70" s="112">
        <f t="shared" si="5"/>
        <v>0</v>
      </c>
      <c r="U70" s="112">
        <f t="shared" si="5"/>
        <v>0</v>
      </c>
      <c r="V70" s="112">
        <f t="shared" si="5"/>
        <v>0</v>
      </c>
      <c r="W70" s="112">
        <f t="shared" si="5"/>
        <v>0</v>
      </c>
    </row>
    <row r="71" spans="5:23" x14ac:dyDescent="0.25">
      <c r="E71" s="112">
        <f>E56+E46-E57</f>
        <v>0</v>
      </c>
      <c r="F71" s="112">
        <f t="shared" ref="F71:W71" si="6">F56+F46-F57</f>
        <v>0</v>
      </c>
      <c r="G71" s="112">
        <f t="shared" si="6"/>
        <v>0</v>
      </c>
      <c r="H71" s="112">
        <f t="shared" si="6"/>
        <v>0</v>
      </c>
      <c r="I71" s="112">
        <f t="shared" si="6"/>
        <v>0</v>
      </c>
      <c r="J71" s="112">
        <f t="shared" si="6"/>
        <v>0</v>
      </c>
      <c r="K71" s="112">
        <f t="shared" si="6"/>
        <v>0</v>
      </c>
      <c r="L71" s="112">
        <f t="shared" si="6"/>
        <v>0</v>
      </c>
      <c r="M71" s="112">
        <f t="shared" si="6"/>
        <v>0</v>
      </c>
      <c r="N71" s="112">
        <f t="shared" si="6"/>
        <v>0</v>
      </c>
      <c r="O71" s="112">
        <f t="shared" si="6"/>
        <v>0</v>
      </c>
      <c r="P71" s="112">
        <f t="shared" si="6"/>
        <v>0</v>
      </c>
      <c r="Q71" s="112">
        <f t="shared" si="6"/>
        <v>0</v>
      </c>
      <c r="R71" s="112">
        <f t="shared" si="6"/>
        <v>0</v>
      </c>
      <c r="S71" s="112">
        <f t="shared" si="6"/>
        <v>0</v>
      </c>
      <c r="T71" s="112">
        <f t="shared" si="6"/>
        <v>0</v>
      </c>
      <c r="U71" s="112">
        <f t="shared" si="6"/>
        <v>0</v>
      </c>
      <c r="V71" s="112">
        <f t="shared" si="6"/>
        <v>0</v>
      </c>
      <c r="W71" s="112">
        <f t="shared" si="6"/>
        <v>0</v>
      </c>
    </row>
  </sheetData>
  <mergeCells count="1">
    <mergeCell ref="B6:H8"/>
  </mergeCells>
  <conditionalFormatting sqref="B11:B57">
    <cfRule type="expression" dxfId="17" priority="11">
      <formula>MOD(ROW(),2)=0</formula>
    </cfRule>
  </conditionalFormatting>
  <conditionalFormatting sqref="E11:E57 G11:W29 G31:W57 F30:W30 C51:C57">
    <cfRule type="expression" dxfId="16" priority="5">
      <formula>MOD(ROW(),2)=0</formula>
    </cfRule>
  </conditionalFormatting>
  <conditionalFormatting sqref="E58:W71">
    <cfRule type="cellIs" dxfId="15" priority="4" operator="notEqual">
      <formula>0</formula>
    </cfRule>
  </conditionalFormatting>
  <conditionalFormatting sqref="F11:F29 F31:F57">
    <cfRule type="expression" dxfId="14" priority="3">
      <formula>MOD(ROW(),2)=0</formula>
    </cfRule>
  </conditionalFormatting>
  <conditionalFormatting sqref="D11:D57">
    <cfRule type="expression" dxfId="13" priority="2">
      <formula>MOD(ROW(),2)=0</formula>
    </cfRule>
  </conditionalFormatting>
  <conditionalFormatting sqref="C11:C50">
    <cfRule type="expression" dxfId="12" priority="1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Planilha12"/>
  <dimension ref="B6:AD75"/>
  <sheetViews>
    <sheetView showGridLines="0" showRowColHeaders="0" zoomScale="70" zoomScaleNormal="70" workbookViewId="0"/>
  </sheetViews>
  <sheetFormatPr defaultColWidth="8.7109375" defaultRowHeight="15" x14ac:dyDescent="0.25"/>
  <cols>
    <col min="1" max="1" width="9.85546875" customWidth="1"/>
    <col min="2" max="2" width="54.7109375" customWidth="1"/>
    <col min="3" max="4" width="16.140625" customWidth="1"/>
    <col min="5" max="5" width="22.140625" customWidth="1"/>
    <col min="6" max="6" width="14.7109375" customWidth="1"/>
    <col min="7" max="7" width="14" customWidth="1"/>
    <col min="8" max="8" width="17.5703125" customWidth="1"/>
    <col min="9" max="9" width="16.28515625" customWidth="1"/>
    <col min="10" max="11" width="18.28515625" customWidth="1"/>
    <col min="12" max="12" width="16.85546875" customWidth="1"/>
    <col min="13" max="13" width="14.5703125" customWidth="1"/>
    <col min="14" max="15" width="15.85546875" bestFit="1" customWidth="1"/>
    <col min="16" max="16" width="16" bestFit="1" customWidth="1"/>
    <col min="17" max="17" width="16.5703125" bestFit="1" customWidth="1"/>
    <col min="18" max="18" width="15" bestFit="1" customWidth="1"/>
    <col min="19" max="19" width="15.85546875" bestFit="1" customWidth="1"/>
    <col min="20" max="20" width="16" bestFit="1" customWidth="1"/>
    <col min="21" max="21" width="16.5703125" bestFit="1" customWidth="1"/>
    <col min="22" max="22" width="15" bestFit="1" customWidth="1"/>
    <col min="23" max="23" width="15.85546875" bestFit="1" customWidth="1"/>
    <col min="24" max="24" width="16" bestFit="1" customWidth="1"/>
    <col min="25" max="25" width="16.5703125" bestFit="1" customWidth="1"/>
    <col min="26" max="32" width="12.85546875" customWidth="1"/>
  </cols>
  <sheetData>
    <row r="6" spans="2:30" ht="27.95" customHeight="1" x14ac:dyDescent="0.25">
      <c r="B6" s="38"/>
      <c r="C6" s="38"/>
      <c r="D6" s="38"/>
      <c r="E6" s="38"/>
      <c r="F6" s="38"/>
      <c r="G6" s="14"/>
      <c r="H6" s="14"/>
    </row>
    <row r="7" spans="2:30" ht="23.45" customHeight="1" x14ac:dyDescent="0.25">
      <c r="F7" s="37"/>
    </row>
    <row r="8" spans="2:30" ht="23.45" customHeight="1" x14ac:dyDescent="0.25">
      <c r="B8" s="291" t="s">
        <v>539</v>
      </c>
      <c r="C8" s="292"/>
      <c r="D8" s="293"/>
      <c r="F8" s="37"/>
      <c r="L8" s="17" t="s">
        <v>130</v>
      </c>
    </row>
    <row r="9" spans="2:30" ht="23.45" customHeight="1" x14ac:dyDescent="0.25">
      <c r="K9" s="377" t="s">
        <v>393</v>
      </c>
      <c r="L9" s="377"/>
      <c r="M9" s="377"/>
      <c r="N9" s="377"/>
      <c r="O9" s="377"/>
      <c r="P9" s="377"/>
      <c r="Q9" s="377"/>
      <c r="R9" s="377"/>
      <c r="S9" s="377"/>
      <c r="T9" s="377"/>
      <c r="U9" s="377"/>
      <c r="V9" s="377"/>
      <c r="W9" s="377"/>
      <c r="X9" s="377"/>
      <c r="Y9" s="377"/>
      <c r="Z9" s="377"/>
      <c r="AA9" s="377"/>
      <c r="AB9" s="377"/>
      <c r="AC9" s="377"/>
      <c r="AD9" s="377"/>
    </row>
    <row r="10" spans="2:30" ht="33.75" customHeight="1" x14ac:dyDescent="0.25">
      <c r="B10" s="290" t="s">
        <v>587</v>
      </c>
      <c r="C10" s="289" t="s">
        <v>328</v>
      </c>
      <c r="D10" s="104" t="s">
        <v>329</v>
      </c>
      <c r="E10" s="104" t="s">
        <v>394</v>
      </c>
      <c r="F10" s="104" t="s">
        <v>330</v>
      </c>
      <c r="G10" s="104" t="s">
        <v>332</v>
      </c>
      <c r="H10" s="104" t="s">
        <v>395</v>
      </c>
      <c r="I10" s="313" t="s">
        <v>59</v>
      </c>
      <c r="K10" s="361" t="s">
        <v>548</v>
      </c>
      <c r="L10" s="69">
        <v>2023</v>
      </c>
      <c r="M10" s="270" t="s">
        <v>133</v>
      </c>
      <c r="N10" s="69" t="s">
        <v>134</v>
      </c>
      <c r="O10" s="69" t="s">
        <v>135</v>
      </c>
      <c r="P10" s="69">
        <v>2022</v>
      </c>
      <c r="Q10" s="69" t="s">
        <v>136</v>
      </c>
      <c r="R10" s="69" t="s">
        <v>137</v>
      </c>
      <c r="S10" s="69" t="s">
        <v>138</v>
      </c>
      <c r="T10" s="69">
        <v>2021</v>
      </c>
      <c r="U10" s="69" t="s">
        <v>139</v>
      </c>
      <c r="V10" s="69" t="s">
        <v>140</v>
      </c>
      <c r="W10" s="69" t="s">
        <v>141</v>
      </c>
      <c r="X10" s="69">
        <v>2020</v>
      </c>
      <c r="Y10" s="69" t="s">
        <v>142</v>
      </c>
      <c r="Z10" s="69" t="s">
        <v>143</v>
      </c>
      <c r="AA10" s="69" t="s">
        <v>144</v>
      </c>
      <c r="AB10" s="69">
        <v>2019</v>
      </c>
      <c r="AC10" s="69" t="s">
        <v>145</v>
      </c>
      <c r="AD10" s="69" t="s">
        <v>146</v>
      </c>
    </row>
    <row r="11" spans="2:30" x14ac:dyDescent="0.25">
      <c r="B11" s="194" t="s">
        <v>396</v>
      </c>
      <c r="C11" s="134">
        <v>315039</v>
      </c>
      <c r="D11" s="134">
        <v>108947</v>
      </c>
      <c r="E11" s="134">
        <v>101008</v>
      </c>
      <c r="F11" s="134">
        <v>1060437</v>
      </c>
      <c r="G11" s="134">
        <v>137823</v>
      </c>
      <c r="H11" s="134">
        <v>-34668</v>
      </c>
      <c r="I11" s="134">
        <v>1688586</v>
      </c>
      <c r="K11" s="134">
        <v>1152891</v>
      </c>
      <c r="L11" s="196">
        <v>5766835</v>
      </c>
      <c r="M11" s="196">
        <v>1237307</v>
      </c>
      <c r="N11" s="196">
        <v>1245382</v>
      </c>
      <c r="O11" s="196">
        <v>1398206</v>
      </c>
      <c r="P11" s="196">
        <v>4094367</v>
      </c>
      <c r="Q11" s="196">
        <v>1182353</v>
      </c>
      <c r="R11" s="196">
        <v>49876</v>
      </c>
      <c r="S11" s="196">
        <v>1455571</v>
      </c>
      <c r="T11" s="196">
        <v>3752869</v>
      </c>
      <c r="U11" s="196">
        <v>421477</v>
      </c>
      <c r="V11" s="196">
        <v>1946639</v>
      </c>
      <c r="W11" s="196">
        <v>422351</v>
      </c>
      <c r="X11" s="196">
        <v>2865121</v>
      </c>
      <c r="Y11" s="196">
        <v>579299</v>
      </c>
      <c r="Z11" s="196">
        <v>1081650</v>
      </c>
      <c r="AA11" s="196">
        <v>-68133</v>
      </c>
      <c r="AB11" s="196">
        <v>3194353</v>
      </c>
      <c r="AC11" s="196">
        <v>-281834</v>
      </c>
      <c r="AD11" s="196">
        <v>2114986</v>
      </c>
    </row>
    <row r="12" spans="2:30" x14ac:dyDescent="0.25">
      <c r="B12" s="194" t="s">
        <v>397</v>
      </c>
      <c r="C12" s="134">
        <v>58300</v>
      </c>
      <c r="D12" s="134">
        <v>27512</v>
      </c>
      <c r="E12" s="134">
        <v>-576</v>
      </c>
      <c r="F12" s="134">
        <v>350163</v>
      </c>
      <c r="G12" s="134">
        <v>62904</v>
      </c>
      <c r="H12" s="134">
        <v>-35966</v>
      </c>
      <c r="I12" s="134">
        <v>462337</v>
      </c>
      <c r="K12" s="134">
        <v>348815</v>
      </c>
      <c r="L12" s="197">
        <v>1084325</v>
      </c>
      <c r="M12" s="197">
        <v>242337</v>
      </c>
      <c r="N12" s="197">
        <v>370099</v>
      </c>
      <c r="O12" s="197">
        <v>355185</v>
      </c>
      <c r="P12" s="197">
        <v>26189</v>
      </c>
      <c r="Q12" s="197">
        <v>209871</v>
      </c>
      <c r="R12" s="197">
        <v>-855151</v>
      </c>
      <c r="S12" s="197">
        <v>491496</v>
      </c>
      <c r="T12" s="197">
        <v>945309</v>
      </c>
      <c r="U12" s="197">
        <v>49710</v>
      </c>
      <c r="V12" s="197">
        <v>880346</v>
      </c>
      <c r="W12" s="197">
        <v>-80673</v>
      </c>
      <c r="X12" s="197">
        <v>935716</v>
      </c>
      <c r="Y12" s="197">
        <v>153921</v>
      </c>
      <c r="Z12" s="197">
        <v>503384</v>
      </c>
      <c r="AA12" s="197">
        <v>-110244</v>
      </c>
      <c r="AB12" s="197">
        <v>1599800</v>
      </c>
      <c r="AC12" s="197">
        <v>-85699</v>
      </c>
      <c r="AD12" s="197">
        <v>1356983</v>
      </c>
    </row>
    <row r="13" spans="2:30" x14ac:dyDescent="0.25">
      <c r="B13" s="194" t="s">
        <v>398</v>
      </c>
      <c r="C13" s="134">
        <v>75996</v>
      </c>
      <c r="D13" s="134">
        <v>41764</v>
      </c>
      <c r="E13" s="134">
        <v>-6921</v>
      </c>
      <c r="F13" s="134">
        <v>-305459</v>
      </c>
      <c r="G13" s="134">
        <v>11937</v>
      </c>
      <c r="H13" s="134">
        <v>64564</v>
      </c>
      <c r="I13" s="134">
        <v>-118119</v>
      </c>
      <c r="K13" s="134">
        <v>180986</v>
      </c>
      <c r="L13" s="196">
        <v>378966</v>
      </c>
      <c r="M13" s="196">
        <v>214852</v>
      </c>
      <c r="N13" s="196">
        <v>-39810</v>
      </c>
      <c r="O13" s="196">
        <v>105914</v>
      </c>
      <c r="P13" s="196">
        <v>1566621</v>
      </c>
      <c r="Q13" s="196">
        <v>109461</v>
      </c>
      <c r="R13" s="196">
        <v>870949</v>
      </c>
      <c r="S13" s="196">
        <v>-314163</v>
      </c>
      <c r="T13" s="196">
        <v>2252993</v>
      </c>
      <c r="U13" s="196">
        <v>1155490</v>
      </c>
      <c r="V13" s="196">
        <v>-478528</v>
      </c>
      <c r="W13" s="196">
        <v>1265220</v>
      </c>
      <c r="X13" s="196">
        <v>905459</v>
      </c>
      <c r="Y13" s="196">
        <v>496619</v>
      </c>
      <c r="Z13" s="196">
        <v>35317</v>
      </c>
      <c r="AA13" s="196">
        <v>726746</v>
      </c>
      <c r="AB13" s="196">
        <v>-1360277</v>
      </c>
      <c r="AC13" s="196">
        <v>233791</v>
      </c>
      <c r="AD13" s="196">
        <v>-1908587</v>
      </c>
    </row>
    <row r="14" spans="2:30" ht="15.75" thickBot="1" x14ac:dyDescent="0.3">
      <c r="B14" s="194" t="s">
        <v>210</v>
      </c>
      <c r="C14" s="134">
        <v>83670</v>
      </c>
      <c r="D14" s="134">
        <v>-60</v>
      </c>
      <c r="E14" s="134">
        <v>4</v>
      </c>
      <c r="F14" s="134">
        <v>224113</v>
      </c>
      <c r="G14" s="134">
        <v>24085</v>
      </c>
      <c r="H14" s="134">
        <v>5967</v>
      </c>
      <c r="I14" s="134">
        <v>337779</v>
      </c>
      <c r="K14" s="134">
        <v>328542</v>
      </c>
      <c r="L14" s="197">
        <v>1274074</v>
      </c>
      <c r="M14" s="197">
        <v>316693</v>
      </c>
      <c r="N14" s="197">
        <v>303263</v>
      </c>
      <c r="O14" s="197">
        <v>302666</v>
      </c>
      <c r="P14" s="197">
        <v>1182084</v>
      </c>
      <c r="Q14" s="197">
        <v>297607</v>
      </c>
      <c r="R14" s="197">
        <v>288020</v>
      </c>
      <c r="S14" s="197">
        <v>283909</v>
      </c>
      <c r="T14" s="197">
        <v>1049109</v>
      </c>
      <c r="U14" s="197">
        <v>286400</v>
      </c>
      <c r="V14" s="197">
        <v>241733</v>
      </c>
      <c r="W14" s="197">
        <v>238431</v>
      </c>
      <c r="X14" s="197">
        <v>989053</v>
      </c>
      <c r="Y14" s="197">
        <v>245089</v>
      </c>
      <c r="Z14" s="197">
        <v>245697</v>
      </c>
      <c r="AA14" s="197">
        <v>242752</v>
      </c>
      <c r="AB14" s="197">
        <v>958234</v>
      </c>
      <c r="AC14" s="197">
        <v>244023</v>
      </c>
      <c r="AD14" s="197">
        <v>248403</v>
      </c>
    </row>
    <row r="15" spans="2:30" ht="15.75" thickBot="1" x14ac:dyDescent="0.3">
      <c r="B15" s="195" t="s">
        <v>401</v>
      </c>
      <c r="C15" s="358">
        <v>533005</v>
      </c>
      <c r="D15" s="358">
        <v>178163</v>
      </c>
      <c r="E15" s="358">
        <v>93515</v>
      </c>
      <c r="F15" s="358">
        <v>1329254</v>
      </c>
      <c r="G15" s="358">
        <v>236749</v>
      </c>
      <c r="H15" s="358">
        <v>-103</v>
      </c>
      <c r="I15" s="359">
        <v>2370583</v>
      </c>
      <c r="K15" s="360">
        <v>2011234</v>
      </c>
      <c r="L15" s="198">
        <v>8504200</v>
      </c>
      <c r="M15" s="198">
        <v>2011189</v>
      </c>
      <c r="N15" s="198">
        <f t="shared" ref="N15:AD15" si="0">SUM(N11:N14)</f>
        <v>1878934</v>
      </c>
      <c r="O15" s="198">
        <f t="shared" si="0"/>
        <v>2161971</v>
      </c>
      <c r="P15" s="198">
        <f t="shared" si="0"/>
        <v>6869261</v>
      </c>
      <c r="Q15" s="198">
        <f t="shared" si="0"/>
        <v>1799292</v>
      </c>
      <c r="R15" s="198">
        <f t="shared" si="0"/>
        <v>353694</v>
      </c>
      <c r="S15" s="198">
        <f t="shared" si="0"/>
        <v>1916813</v>
      </c>
      <c r="T15" s="198">
        <f>SUM(T11:T14)</f>
        <v>8000280</v>
      </c>
      <c r="U15" s="198">
        <f>SUM(U11:U14)</f>
        <v>1913077</v>
      </c>
      <c r="V15" s="198">
        <f t="shared" si="0"/>
        <v>2590190</v>
      </c>
      <c r="W15" s="198">
        <f t="shared" si="0"/>
        <v>1845329</v>
      </c>
      <c r="X15" s="198">
        <f t="shared" si="0"/>
        <v>5695349</v>
      </c>
      <c r="Y15" s="198">
        <f t="shared" si="0"/>
        <v>1474928</v>
      </c>
      <c r="Z15" s="198">
        <f t="shared" si="0"/>
        <v>1866048</v>
      </c>
      <c r="AA15" s="198">
        <f t="shared" si="0"/>
        <v>791121</v>
      </c>
      <c r="AB15" s="198">
        <f t="shared" si="0"/>
        <v>4392110</v>
      </c>
      <c r="AC15" s="198">
        <f t="shared" si="0"/>
        <v>110281</v>
      </c>
      <c r="AD15" s="198">
        <f t="shared" si="0"/>
        <v>1811785</v>
      </c>
    </row>
    <row r="16" spans="2:30" ht="15.75" thickTop="1" x14ac:dyDescent="0.25">
      <c r="B16" s="195" t="s">
        <v>399</v>
      </c>
      <c r="C16" s="134"/>
      <c r="D16" s="134"/>
      <c r="E16" s="134"/>
      <c r="F16" s="134"/>
      <c r="G16" s="134"/>
      <c r="H16" s="134"/>
      <c r="I16" s="134"/>
    </row>
    <row r="17" spans="2:30" x14ac:dyDescent="0.25">
      <c r="B17" s="194" t="s">
        <v>400</v>
      </c>
      <c r="C17" s="134" t="s">
        <v>5</v>
      </c>
      <c r="D17" s="134" t="s">
        <v>5</v>
      </c>
      <c r="E17" s="134" t="s">
        <v>5</v>
      </c>
      <c r="F17" s="134" t="s">
        <v>5</v>
      </c>
      <c r="G17" s="134">
        <v>-593</v>
      </c>
      <c r="H17" s="134" t="s">
        <v>5</v>
      </c>
      <c r="I17" s="134">
        <v>-593</v>
      </c>
      <c r="N17" s="112">
        <f t="shared" ref="N17:AD17" si="1">SUM(N11:N14)-N15</f>
        <v>0</v>
      </c>
      <c r="O17" s="112">
        <f t="shared" si="1"/>
        <v>0</v>
      </c>
      <c r="P17" s="112">
        <f t="shared" si="1"/>
        <v>0</v>
      </c>
      <c r="Q17" s="112">
        <f t="shared" si="1"/>
        <v>0</v>
      </c>
      <c r="R17" s="112">
        <f t="shared" si="1"/>
        <v>0</v>
      </c>
      <c r="S17" s="112">
        <f t="shared" si="1"/>
        <v>0</v>
      </c>
      <c r="T17" s="112">
        <f t="shared" si="1"/>
        <v>0</v>
      </c>
      <c r="U17" s="112">
        <f t="shared" si="1"/>
        <v>0</v>
      </c>
      <c r="V17" s="112">
        <f t="shared" si="1"/>
        <v>0</v>
      </c>
      <c r="W17" s="112">
        <f t="shared" si="1"/>
        <v>0</v>
      </c>
      <c r="X17" s="112">
        <f t="shared" si="1"/>
        <v>0</v>
      </c>
      <c r="Y17" s="112">
        <f t="shared" si="1"/>
        <v>0</v>
      </c>
      <c r="Z17" s="112">
        <f t="shared" si="1"/>
        <v>0</v>
      </c>
      <c r="AA17" s="112">
        <f t="shared" si="1"/>
        <v>0</v>
      </c>
      <c r="AB17" s="112">
        <f t="shared" si="1"/>
        <v>0</v>
      </c>
      <c r="AC17" s="112">
        <f t="shared" si="1"/>
        <v>0</v>
      </c>
      <c r="AD17" s="112">
        <f t="shared" si="1"/>
        <v>0</v>
      </c>
    </row>
    <row r="18" spans="2:30" x14ac:dyDescent="0.25">
      <c r="B18" s="194" t="s">
        <v>589</v>
      </c>
      <c r="C18" s="134" t="s">
        <v>5</v>
      </c>
      <c r="D18" s="134" t="s">
        <v>5</v>
      </c>
      <c r="E18" s="134">
        <v>52647</v>
      </c>
      <c r="F18" s="134" t="s">
        <v>5</v>
      </c>
      <c r="G18" s="134" t="s">
        <v>5</v>
      </c>
      <c r="H18" s="134" t="s">
        <v>5</v>
      </c>
      <c r="I18" s="134">
        <v>52647</v>
      </c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</row>
    <row r="19" spans="2:30" x14ac:dyDescent="0.25">
      <c r="B19" s="194" t="s">
        <v>590</v>
      </c>
      <c r="C19" s="134">
        <v>-30503</v>
      </c>
      <c r="D19" s="134">
        <v>-32967</v>
      </c>
      <c r="E19" s="134">
        <v>-5049</v>
      </c>
      <c r="F19" s="134">
        <v>-513331</v>
      </c>
      <c r="G19" s="134" t="s">
        <v>5</v>
      </c>
      <c r="H19" s="134">
        <v>-2500</v>
      </c>
      <c r="I19" s="134">
        <v>-584350</v>
      </c>
      <c r="L19" s="315"/>
      <c r="N19" s="112"/>
      <c r="O19" s="112"/>
      <c r="P19" s="112"/>
      <c r="Q19" s="112"/>
      <c r="R19" s="112"/>
      <c r="S19" s="112"/>
      <c r="T19" s="112"/>
      <c r="U19" s="112"/>
      <c r="V19" s="112"/>
      <c r="W19" s="112"/>
      <c r="X19" s="112"/>
      <c r="Y19" s="112"/>
      <c r="Z19" s="112"/>
      <c r="AA19" s="112"/>
      <c r="AB19" s="112"/>
      <c r="AC19" s="112"/>
      <c r="AD19" s="112"/>
    </row>
    <row r="20" spans="2:30" x14ac:dyDescent="0.25">
      <c r="B20" s="194" t="s">
        <v>591</v>
      </c>
      <c r="C20" s="134">
        <v>9312</v>
      </c>
      <c r="D20" s="134">
        <v>10064</v>
      </c>
      <c r="E20" s="134">
        <v>1541</v>
      </c>
      <c r="F20" s="134">
        <v>56468</v>
      </c>
      <c r="G20" s="134" t="s">
        <v>5</v>
      </c>
      <c r="H20" s="134">
        <v>763</v>
      </c>
      <c r="I20" s="134">
        <v>78148</v>
      </c>
      <c r="N20" s="112">
        <f>DRE!J46+DRE!J47+N12</f>
        <v>0</v>
      </c>
      <c r="O20" s="112">
        <f>DRE!K46+DRE!K47+O12</f>
        <v>0</v>
      </c>
      <c r="P20" s="112">
        <f>DRE!L46+DRE!L47+P12</f>
        <v>0</v>
      </c>
      <c r="Q20" s="112">
        <f>DRE!M46+DRE!M47+Q12</f>
        <v>0</v>
      </c>
      <c r="R20" s="112">
        <f>DRE!N46+DRE!N47+R12</f>
        <v>0</v>
      </c>
      <c r="S20" s="112">
        <f>DRE!O46+DRE!O47+S12</f>
        <v>0</v>
      </c>
      <c r="T20" s="112">
        <f>DRE!P46+DRE!P47+T12</f>
        <v>0</v>
      </c>
      <c r="U20" s="112">
        <f>DRE!Q46+DRE!Q47+U12</f>
        <v>0</v>
      </c>
      <c r="V20" s="112">
        <f>DRE!R46+DRE!R47+V12</f>
        <v>0</v>
      </c>
      <c r="W20" s="112">
        <f>DRE!S46+DRE!S47+W12</f>
        <v>0</v>
      </c>
      <c r="X20" s="112">
        <f>DRE!T46+DRE!T47+X12</f>
        <v>0</v>
      </c>
      <c r="Y20" s="112">
        <f>DRE!U46+DRE!U47+Y12</f>
        <v>0</v>
      </c>
      <c r="Z20" s="112">
        <f>DRE!V46+DRE!V47+Z12</f>
        <v>0</v>
      </c>
      <c r="AA20" s="112">
        <f>DRE!W46+DRE!W47+AA12</f>
        <v>0</v>
      </c>
      <c r="AB20" s="112">
        <f>DRE!X46+DRE!X47+AB12</f>
        <v>0</v>
      </c>
      <c r="AC20" s="112">
        <f>DRE!Y46+DRE!Y47+AC12</f>
        <v>0</v>
      </c>
      <c r="AD20" s="112">
        <f>DRE!Z46+DRE!Z47+AD12</f>
        <v>0</v>
      </c>
    </row>
    <row r="21" spans="2:30" ht="15.75" thickBot="1" x14ac:dyDescent="0.3">
      <c r="B21" s="195" t="s">
        <v>403</v>
      </c>
      <c r="C21" s="316">
        <v>511814</v>
      </c>
      <c r="D21" s="317">
        <v>155260</v>
      </c>
      <c r="E21" s="317">
        <v>142654</v>
      </c>
      <c r="F21" s="317">
        <v>872391</v>
      </c>
      <c r="G21" s="317">
        <v>236156</v>
      </c>
      <c r="H21" s="317">
        <v>-1840</v>
      </c>
      <c r="I21" s="317">
        <v>1916435</v>
      </c>
      <c r="M21" s="112">
        <f>DRE!I42+M13</f>
        <v>0</v>
      </c>
      <c r="N21" s="112">
        <f>DRE!J42+N13</f>
        <v>0</v>
      </c>
      <c r="O21" s="112">
        <f>DRE!K42+O13</f>
        <v>0</v>
      </c>
      <c r="P21" s="112">
        <f>DRE!L42+P13</f>
        <v>0</v>
      </c>
      <c r="Q21" s="112">
        <f>DRE!M42+Q13</f>
        <v>0</v>
      </c>
      <c r="R21" s="112">
        <f>DRE!N42+R13</f>
        <v>0</v>
      </c>
      <c r="S21" s="112">
        <f>DRE!O42+S13</f>
        <v>0</v>
      </c>
      <c r="T21" s="112">
        <f>DRE!P42+T13</f>
        <v>0</v>
      </c>
      <c r="U21" s="112">
        <f>DRE!Q42+U13</f>
        <v>0</v>
      </c>
      <c r="V21" s="112">
        <f>DRE!R42+V13</f>
        <v>0</v>
      </c>
      <c r="W21" s="112">
        <f>DRE!S42+W13</f>
        <v>0</v>
      </c>
      <c r="X21" s="112">
        <f>DRE!T42+X13</f>
        <v>0</v>
      </c>
      <c r="Y21" s="112">
        <f>DRE!U42+Y13</f>
        <v>0</v>
      </c>
      <c r="Z21" s="112">
        <f>DRE!V42+Z13</f>
        <v>0</v>
      </c>
      <c r="AA21" s="112">
        <f>DRE!W42+AA13</f>
        <v>0</v>
      </c>
      <c r="AB21" s="112">
        <f>DRE!X42+AB13</f>
        <v>0</v>
      </c>
      <c r="AC21" s="112">
        <f>DRE!Y42+AC13</f>
        <v>0</v>
      </c>
      <c r="AD21" s="112">
        <f>DRE!Z42+AD13</f>
        <v>0</v>
      </c>
    </row>
    <row r="22" spans="2:30" ht="15.75" thickTop="1" x14ac:dyDescent="0.25">
      <c r="C22" s="112">
        <f t="shared" ref="C22:I22" si="2">SUM(C11:C14)-C15</f>
        <v>0</v>
      </c>
      <c r="D22" s="112">
        <f t="shared" si="2"/>
        <v>0</v>
      </c>
      <c r="E22" s="112">
        <f t="shared" si="2"/>
        <v>0</v>
      </c>
      <c r="F22" s="112">
        <f t="shared" si="2"/>
        <v>0</v>
      </c>
      <c r="G22" s="112">
        <f t="shared" si="2"/>
        <v>0</v>
      </c>
      <c r="H22" s="112">
        <f t="shared" si="2"/>
        <v>0</v>
      </c>
      <c r="I22" s="112">
        <f t="shared" si="2"/>
        <v>0</v>
      </c>
      <c r="N22" s="112">
        <f>'Custos e Despesas'!I21-N14</f>
        <v>0</v>
      </c>
      <c r="O22" s="112">
        <f>'Custos e Despesas'!J21-O14</f>
        <v>0</v>
      </c>
      <c r="P22" s="112">
        <f>'Custos e Despesas'!K21-P14</f>
        <v>0</v>
      </c>
      <c r="Q22" s="112">
        <f>'Custos e Despesas'!L21-Q14</f>
        <v>0</v>
      </c>
      <c r="R22" s="112">
        <f>'Custos e Despesas'!M21-R14</f>
        <v>0</v>
      </c>
      <c r="S22" s="112">
        <f>'Custos e Despesas'!N21-S14</f>
        <v>0</v>
      </c>
      <c r="T22" s="112">
        <f>'Custos e Despesas'!O21-T14</f>
        <v>0</v>
      </c>
      <c r="U22" s="112">
        <f>'Custos e Despesas'!P21-U14</f>
        <v>0</v>
      </c>
      <c r="V22" s="112">
        <f>'Custos e Despesas'!Q21-V14</f>
        <v>0</v>
      </c>
      <c r="W22" s="112">
        <f>'Custos e Despesas'!R21-W14</f>
        <v>0</v>
      </c>
      <c r="X22" s="112">
        <f>'Custos e Despesas'!S21-X14</f>
        <v>0</v>
      </c>
      <c r="Y22" s="112">
        <f>'Custos e Despesas'!T21-Y14</f>
        <v>0</v>
      </c>
      <c r="Z22" s="112">
        <f>'Custos e Despesas'!U21-Z14</f>
        <v>0</v>
      </c>
      <c r="AA22" s="112">
        <f>'Custos e Despesas'!V21-AA14</f>
        <v>0</v>
      </c>
      <c r="AB22" s="112">
        <f>'Custos e Despesas'!W21-AB14</f>
        <v>0</v>
      </c>
      <c r="AC22" s="112">
        <f>'Custos e Despesas'!X21-AC14</f>
        <v>0</v>
      </c>
      <c r="AD22" s="112">
        <f>'Custos e Despesas'!Y21-AD14</f>
        <v>0</v>
      </c>
    </row>
    <row r="23" spans="2:30" x14ac:dyDescent="0.25">
      <c r="C23" s="112"/>
      <c r="D23" s="112"/>
      <c r="E23" s="112"/>
      <c r="F23" s="112"/>
      <c r="G23" s="112"/>
      <c r="H23" s="112"/>
      <c r="I23" s="112"/>
    </row>
    <row r="25" spans="2:30" ht="30" x14ac:dyDescent="0.25">
      <c r="B25" s="290" t="s">
        <v>588</v>
      </c>
      <c r="C25" s="69" t="s">
        <v>328</v>
      </c>
      <c r="D25" s="69" t="s">
        <v>329</v>
      </c>
      <c r="E25" s="69" t="s">
        <v>394</v>
      </c>
      <c r="F25" s="270" t="s">
        <v>330</v>
      </c>
      <c r="G25" s="270" t="s">
        <v>332</v>
      </c>
      <c r="H25" s="69" t="s">
        <v>395</v>
      </c>
      <c r="I25" s="69" t="s">
        <v>59</v>
      </c>
    </row>
    <row r="26" spans="2:30" x14ac:dyDescent="0.25">
      <c r="B26" s="271" t="s">
        <v>396</v>
      </c>
      <c r="C26" s="275">
        <v>362695</v>
      </c>
      <c r="D26" s="275">
        <v>99390</v>
      </c>
      <c r="E26" s="275">
        <v>213386</v>
      </c>
      <c r="F26" s="275">
        <v>365437</v>
      </c>
      <c r="G26" s="275">
        <v>162582</v>
      </c>
      <c r="H26" s="275">
        <v>41892</v>
      </c>
      <c r="I26" s="275">
        <v>1245382</v>
      </c>
    </row>
    <row r="27" spans="2:30" x14ac:dyDescent="0.25">
      <c r="B27" s="272" t="s">
        <v>397</v>
      </c>
      <c r="C27" s="276">
        <v>79933</v>
      </c>
      <c r="D27" s="276">
        <v>35403</v>
      </c>
      <c r="E27" s="276">
        <v>121145</v>
      </c>
      <c r="F27" s="276">
        <v>137575</v>
      </c>
      <c r="G27" s="276">
        <v>76527</v>
      </c>
      <c r="H27" s="276">
        <v>-80484</v>
      </c>
      <c r="I27" s="276">
        <v>370099</v>
      </c>
    </row>
    <row r="28" spans="2:30" x14ac:dyDescent="0.25">
      <c r="B28" s="271" t="s">
        <v>398</v>
      </c>
      <c r="C28" s="275">
        <v>-10055</v>
      </c>
      <c r="D28" s="275">
        <v>1359</v>
      </c>
      <c r="E28" s="275">
        <v>-28664</v>
      </c>
      <c r="F28" s="275">
        <v>-11565</v>
      </c>
      <c r="G28" s="275">
        <v>-7884</v>
      </c>
      <c r="H28" s="275">
        <v>16999</v>
      </c>
      <c r="I28" s="275">
        <v>-39810</v>
      </c>
    </row>
    <row r="29" spans="2:30" x14ac:dyDescent="0.25">
      <c r="B29" s="272" t="s">
        <v>210</v>
      </c>
      <c r="C29" s="276">
        <v>80078</v>
      </c>
      <c r="D29" s="276">
        <v>-121</v>
      </c>
      <c r="E29" s="276">
        <v>3</v>
      </c>
      <c r="F29" s="276">
        <v>196873</v>
      </c>
      <c r="G29" s="276">
        <v>23528</v>
      </c>
      <c r="H29" s="276">
        <v>2902</v>
      </c>
      <c r="I29" s="276">
        <v>303263</v>
      </c>
    </row>
    <row r="30" spans="2:30" ht="15.75" thickBot="1" x14ac:dyDescent="0.3">
      <c r="B30" s="273" t="s">
        <v>401</v>
      </c>
      <c r="C30" s="277">
        <v>512651</v>
      </c>
      <c r="D30" s="277">
        <v>136031</v>
      </c>
      <c r="E30" s="277">
        <v>305870</v>
      </c>
      <c r="F30" s="277">
        <v>688320</v>
      </c>
      <c r="G30" s="277">
        <v>254753</v>
      </c>
      <c r="H30" s="277">
        <v>-18691</v>
      </c>
      <c r="I30" s="277">
        <v>1878934</v>
      </c>
    </row>
    <row r="31" spans="2:30" ht="15.75" thickTop="1" x14ac:dyDescent="0.25">
      <c r="B31" s="274" t="s">
        <v>399</v>
      </c>
      <c r="C31" s="278"/>
      <c r="D31" s="278"/>
      <c r="E31" s="278"/>
      <c r="F31" s="278"/>
      <c r="G31" s="278"/>
      <c r="H31" s="278"/>
      <c r="I31" s="278"/>
    </row>
    <row r="32" spans="2:30" x14ac:dyDescent="0.25">
      <c r="B32" s="271" t="s">
        <v>400</v>
      </c>
      <c r="C32" s="275" t="s">
        <v>5</v>
      </c>
      <c r="D32" s="275" t="s">
        <v>5</v>
      </c>
      <c r="E32" s="275" t="s">
        <v>5</v>
      </c>
      <c r="F32" s="275" t="s">
        <v>5</v>
      </c>
      <c r="G32" s="275">
        <v>-699</v>
      </c>
      <c r="H32" s="275" t="s">
        <v>5</v>
      </c>
      <c r="I32" s="275">
        <v>-699</v>
      </c>
    </row>
    <row r="33" spans="2:9" ht="15.75" thickBot="1" x14ac:dyDescent="0.3">
      <c r="B33" s="195" t="s">
        <v>403</v>
      </c>
      <c r="C33" s="316">
        <v>512651</v>
      </c>
      <c r="D33" s="317">
        <v>136031</v>
      </c>
      <c r="E33" s="317">
        <v>305870</v>
      </c>
      <c r="F33" s="317">
        <v>688320</v>
      </c>
      <c r="G33" s="317">
        <v>254054</v>
      </c>
      <c r="H33" s="317">
        <v>-18691</v>
      </c>
      <c r="I33" s="317">
        <v>1878235</v>
      </c>
    </row>
    <row r="34" spans="2:9" ht="15.75" thickTop="1" x14ac:dyDescent="0.25"/>
    <row r="38" spans="2:9" ht="22.5" customHeight="1" x14ac:dyDescent="0.25"/>
    <row r="75" spans="10:12" x14ac:dyDescent="0.25">
      <c r="J75" s="34"/>
      <c r="K75" s="34"/>
      <c r="L75" s="34"/>
    </row>
  </sheetData>
  <mergeCells count="1">
    <mergeCell ref="K9:AD9"/>
  </mergeCells>
  <conditionalFormatting sqref="B11:I14 B15 B16:I20">
    <cfRule type="expression" dxfId="11" priority="25">
      <formula>MOD(ROW(),2)=0</formula>
    </cfRule>
  </conditionalFormatting>
  <conditionalFormatting sqref="N17:AD22 C22:I23">
    <cfRule type="cellIs" dxfId="10" priority="15" operator="notEqual">
      <formula>0</formula>
    </cfRule>
  </conditionalFormatting>
  <conditionalFormatting sqref="M21">
    <cfRule type="cellIs" dxfId="9" priority="7" operator="notEqual">
      <formula>0</formula>
    </cfRule>
  </conditionalFormatting>
  <conditionalFormatting sqref="K11:K14">
    <cfRule type="expression" dxfId="8" priority="3">
      <formula>MOD(ROW(),2)=0</formula>
    </cfRule>
  </conditionalFormatting>
  <conditionalFormatting sqref="B21">
    <cfRule type="expression" dxfId="7" priority="2">
      <formula>MOD(ROW(),2)=0</formula>
    </cfRule>
  </conditionalFormatting>
  <conditionalFormatting sqref="B33">
    <cfRule type="expression" dxfId="6" priority="1">
      <formula>MOD(ROW(),2)=0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ignoredErrors>
    <ignoredError sqref="AB15 P17 P15 T17 T15 X17 X15 AB17" formulaRange="1"/>
  </ignoredError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Planilha19"/>
  <dimension ref="B1:Z1048576"/>
  <sheetViews>
    <sheetView showGridLines="0" showRowColHeaders="0" tabSelected="1" topLeftCell="A53" zoomScaleNormal="100" workbookViewId="0">
      <selection activeCell="B67" sqref="B67"/>
    </sheetView>
  </sheetViews>
  <sheetFormatPr defaultColWidth="8.7109375" defaultRowHeight="18.75" x14ac:dyDescent="0.25"/>
  <cols>
    <col min="1" max="1" width="9.85546875" customWidth="1"/>
    <col min="2" max="2" width="86.42578125" bestFit="1" customWidth="1"/>
    <col min="3" max="4" width="11.28515625" bestFit="1" customWidth="1"/>
    <col min="5" max="5" width="6.85546875" style="124" customWidth="1"/>
    <col min="6" max="6" width="5" style="124" customWidth="1"/>
    <col min="7" max="7" width="10.5703125" style="124" bestFit="1" customWidth="1"/>
    <col min="8" max="8" width="11.28515625" style="124" customWidth="1"/>
    <col min="9" max="11" width="11.28515625" bestFit="1" customWidth="1"/>
    <col min="12" max="12" width="12.28515625" style="338" bestFit="1" customWidth="1"/>
    <col min="13" max="15" width="11.28515625" style="338" bestFit="1" customWidth="1"/>
    <col min="16" max="16" width="12.28515625" style="338" bestFit="1" customWidth="1"/>
    <col min="17" max="19" width="11.28515625" style="338" bestFit="1" customWidth="1"/>
    <col min="20" max="20" width="12.28515625" style="338" bestFit="1" customWidth="1"/>
    <col min="21" max="23" width="11.28515625" style="338" bestFit="1" customWidth="1"/>
    <col min="24" max="24" width="12.28515625" style="338" bestFit="1" customWidth="1"/>
    <col min="25" max="26" width="11.28515625" style="338" bestFit="1" customWidth="1"/>
  </cols>
  <sheetData>
    <row r="1" spans="2:26" x14ac:dyDescent="0.25">
      <c r="H1"/>
    </row>
    <row r="2" spans="2:26" x14ac:dyDescent="0.25">
      <c r="H2"/>
      <c r="I2" s="268" t="s">
        <v>404</v>
      </c>
    </row>
    <row r="3" spans="2:26" x14ac:dyDescent="0.25">
      <c r="H3"/>
    </row>
    <row r="4" spans="2:26" x14ac:dyDescent="0.25">
      <c r="H4"/>
    </row>
    <row r="5" spans="2:26" ht="15" x14ac:dyDescent="0.25">
      <c r="B5" s="390"/>
      <c r="C5" s="390"/>
      <c r="D5" s="390"/>
      <c r="E5" s="390"/>
      <c r="F5" s="390"/>
      <c r="G5" s="390"/>
      <c r="H5" s="390"/>
      <c r="I5" s="390"/>
      <c r="J5" s="390"/>
      <c r="K5" s="390"/>
    </row>
    <row r="6" spans="2:26" ht="15" x14ac:dyDescent="0.25">
      <c r="B6" s="390"/>
      <c r="C6" s="390"/>
      <c r="D6" s="390"/>
      <c r="E6" s="390"/>
      <c r="F6" s="390"/>
      <c r="G6" s="390"/>
      <c r="H6" s="390"/>
      <c r="I6" s="390"/>
      <c r="J6" s="390"/>
      <c r="K6" s="390"/>
    </row>
    <row r="7" spans="2:26" ht="15" x14ac:dyDescent="0.25">
      <c r="B7" s="390"/>
      <c r="C7" s="390"/>
      <c r="D7" s="390"/>
      <c r="E7" s="390"/>
      <c r="F7" s="390"/>
      <c r="G7" s="390"/>
      <c r="H7" s="390"/>
      <c r="I7" s="390"/>
      <c r="J7" s="390"/>
      <c r="K7" s="390"/>
    </row>
    <row r="8" spans="2:26" x14ac:dyDescent="0.25">
      <c r="B8" s="124"/>
      <c r="C8" s="124"/>
      <c r="D8" s="124"/>
      <c r="I8" s="124"/>
      <c r="J8" s="124"/>
      <c r="K8" s="124"/>
    </row>
    <row r="9" spans="2:26" x14ac:dyDescent="0.25">
      <c r="B9" s="124"/>
      <c r="C9" s="124"/>
      <c r="D9" s="124"/>
      <c r="I9" s="124"/>
      <c r="J9" s="124"/>
      <c r="K9" s="124"/>
    </row>
    <row r="10" spans="2:26" x14ac:dyDescent="0.25">
      <c r="B10" s="53" t="s">
        <v>405</v>
      </c>
      <c r="C10" s="53"/>
      <c r="D10" s="53"/>
      <c r="H10" s="2"/>
      <c r="I10" s="2"/>
      <c r="J10" s="2"/>
      <c r="K10" s="2"/>
    </row>
    <row r="11" spans="2:26" ht="18.75" customHeight="1" x14ac:dyDescent="0.25">
      <c r="B11" s="386"/>
      <c r="C11" s="378" t="s">
        <v>539</v>
      </c>
      <c r="D11" s="378"/>
      <c r="G11" s="377" t="s">
        <v>131</v>
      </c>
      <c r="H11" s="377"/>
      <c r="I11" s="377"/>
      <c r="J11" s="377"/>
      <c r="K11" s="377"/>
      <c r="L11" s="377"/>
      <c r="M11" s="377"/>
      <c r="N11" s="377"/>
      <c r="O11" s="377"/>
      <c r="P11" s="377"/>
      <c r="Q11" s="377"/>
      <c r="R11" s="377"/>
      <c r="S11" s="377"/>
      <c r="T11" s="377"/>
      <c r="U11" s="377"/>
      <c r="V11" s="377"/>
      <c r="W11" s="377"/>
      <c r="X11" s="377"/>
      <c r="Y11" s="377"/>
      <c r="Z11" s="377"/>
    </row>
    <row r="12" spans="2:26" x14ac:dyDescent="0.25">
      <c r="B12" s="387"/>
      <c r="C12" s="157" t="s">
        <v>563</v>
      </c>
      <c r="D12" s="157" t="s">
        <v>134</v>
      </c>
      <c r="G12" s="157" t="s">
        <v>548</v>
      </c>
      <c r="H12" s="157">
        <v>2023</v>
      </c>
      <c r="I12" s="157" t="s">
        <v>133</v>
      </c>
      <c r="J12" s="69" t="s">
        <v>134</v>
      </c>
      <c r="K12" s="69" t="s">
        <v>135</v>
      </c>
      <c r="L12" s="339">
        <v>2022</v>
      </c>
      <c r="M12" s="339" t="s">
        <v>136</v>
      </c>
      <c r="N12" s="339" t="s">
        <v>137</v>
      </c>
      <c r="O12" s="339" t="s">
        <v>138</v>
      </c>
      <c r="P12" s="339">
        <v>2021</v>
      </c>
      <c r="Q12" s="339" t="s">
        <v>139</v>
      </c>
      <c r="R12" s="339" t="s">
        <v>140</v>
      </c>
      <c r="S12" s="339" t="s">
        <v>141</v>
      </c>
      <c r="T12" s="339">
        <v>2020</v>
      </c>
      <c r="U12" s="339" t="s">
        <v>142</v>
      </c>
      <c r="V12" s="339" t="s">
        <v>143</v>
      </c>
      <c r="W12" s="339" t="s">
        <v>144</v>
      </c>
      <c r="X12" s="339">
        <v>2019</v>
      </c>
      <c r="Y12" s="339" t="s">
        <v>145</v>
      </c>
      <c r="Z12" s="339" t="s">
        <v>146</v>
      </c>
    </row>
    <row r="13" spans="2:26" x14ac:dyDescent="0.25">
      <c r="B13" s="199" t="s">
        <v>406</v>
      </c>
      <c r="C13" s="323">
        <v>9435991</v>
      </c>
      <c r="D13" s="323">
        <v>8819517</v>
      </c>
      <c r="G13" s="323">
        <v>9057867</v>
      </c>
      <c r="H13" s="323">
        <v>36849769</v>
      </c>
      <c r="I13" s="323">
        <v>9426629</v>
      </c>
      <c r="J13" s="323">
        <v>8819517</v>
      </c>
      <c r="K13" s="30">
        <v>8646937</v>
      </c>
      <c r="L13" s="30">
        <v>34462808</v>
      </c>
      <c r="M13" s="30">
        <v>9223311</v>
      </c>
      <c r="N13" s="30">
        <v>8213380</v>
      </c>
      <c r="O13" s="30">
        <v>7847448</v>
      </c>
      <c r="P13" s="30">
        <v>33646118</v>
      </c>
      <c r="Q13" s="30">
        <v>9524667</v>
      </c>
      <c r="R13" s="30">
        <v>7353982</v>
      </c>
      <c r="S13" s="30">
        <v>7110741</v>
      </c>
      <c r="T13" s="30">
        <v>25227625</v>
      </c>
      <c r="U13" s="30">
        <v>6421183</v>
      </c>
      <c r="V13" s="30">
        <v>5500117</v>
      </c>
      <c r="W13" s="30">
        <v>6041984</v>
      </c>
      <c r="X13" s="30">
        <v>25486973</v>
      </c>
      <c r="Y13" s="30">
        <v>6070786</v>
      </c>
      <c r="Z13" s="30">
        <v>7016793</v>
      </c>
    </row>
    <row r="14" spans="2:26" x14ac:dyDescent="0.25">
      <c r="B14" s="199"/>
      <c r="C14" s="201"/>
      <c r="D14" s="201"/>
      <c r="G14" s="201"/>
      <c r="H14" s="201"/>
      <c r="I14" s="201"/>
      <c r="J14" s="201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</row>
    <row r="15" spans="2:26" x14ac:dyDescent="0.25">
      <c r="B15" s="199" t="s">
        <v>521</v>
      </c>
      <c r="C15" s="201"/>
      <c r="D15" s="201"/>
      <c r="G15" s="201"/>
      <c r="H15" s="201"/>
      <c r="I15" s="201"/>
      <c r="J15" s="201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</row>
    <row r="16" spans="2:26" x14ac:dyDescent="0.25">
      <c r="B16" s="202" t="s">
        <v>407</v>
      </c>
      <c r="C16" s="201">
        <v>-5019191</v>
      </c>
      <c r="D16" s="201">
        <v>-4745685</v>
      </c>
      <c r="G16" s="201">
        <v>-4864031</v>
      </c>
      <c r="H16" s="201">
        <v>-19821893</v>
      </c>
      <c r="I16" s="201">
        <v>-5075117</v>
      </c>
      <c r="J16" s="201">
        <v>-4745685</v>
      </c>
      <c r="K16" s="28">
        <v>-4759051</v>
      </c>
      <c r="L16" s="28">
        <v>-20020182</v>
      </c>
      <c r="M16" s="28">
        <v>-5496572</v>
      </c>
      <c r="N16" s="28">
        <v>-4698194</v>
      </c>
      <c r="O16" s="28">
        <v>-4535695</v>
      </c>
      <c r="P16" s="28">
        <v>-21449579</v>
      </c>
      <c r="Q16" s="28">
        <v>-6515849</v>
      </c>
      <c r="R16" s="28">
        <v>-4491666</v>
      </c>
      <c r="S16" s="28">
        <v>-4241951</v>
      </c>
      <c r="T16" s="28">
        <v>-14942389</v>
      </c>
      <c r="U16" s="28">
        <v>-3700828</v>
      </c>
      <c r="V16" s="28">
        <v>-3244057</v>
      </c>
      <c r="W16" s="28">
        <v>-3491432</v>
      </c>
      <c r="X16" s="28">
        <v>-14148180</v>
      </c>
      <c r="Y16" s="28">
        <v>-3785464</v>
      </c>
      <c r="Z16" s="28">
        <v>-3223574</v>
      </c>
    </row>
    <row r="17" spans="2:26" x14ac:dyDescent="0.25">
      <c r="B17" s="202" t="s">
        <v>204</v>
      </c>
      <c r="C17" s="201">
        <v>-1226933</v>
      </c>
      <c r="D17" s="201">
        <v>-964240</v>
      </c>
      <c r="G17" s="201">
        <v>-920981</v>
      </c>
      <c r="H17" s="203">
        <v>-4071712</v>
      </c>
      <c r="I17" s="201">
        <v>-1193629</v>
      </c>
      <c r="J17" s="201">
        <v>-964240</v>
      </c>
      <c r="K17" s="28">
        <v>-703281</v>
      </c>
      <c r="L17" s="28">
        <v>-3536442</v>
      </c>
      <c r="M17" s="28">
        <v>-1135414</v>
      </c>
      <c r="N17" s="28">
        <v>-771160</v>
      </c>
      <c r="O17" s="28">
        <v>-491262</v>
      </c>
      <c r="P17" s="28">
        <v>-2035648</v>
      </c>
      <c r="Q17" s="28">
        <v>-552536</v>
      </c>
      <c r="R17" s="28">
        <v>-437186</v>
      </c>
      <c r="S17" s="28">
        <v>-348375</v>
      </c>
      <c r="T17" s="28">
        <v>-1581475</v>
      </c>
      <c r="U17" s="28">
        <v>-438960</v>
      </c>
      <c r="V17" s="28">
        <v>-373405</v>
      </c>
      <c r="W17" s="28">
        <v>-310271</v>
      </c>
      <c r="X17" s="28">
        <v>-1199698</v>
      </c>
      <c r="Y17" s="28">
        <v>-341503</v>
      </c>
      <c r="Z17" s="28">
        <v>-266107</v>
      </c>
    </row>
    <row r="18" spans="2:26" x14ac:dyDescent="0.25">
      <c r="B18" s="202" t="s">
        <v>408</v>
      </c>
      <c r="C18" s="324">
        <v>-686180</v>
      </c>
      <c r="D18" s="324">
        <v>-1090219</v>
      </c>
      <c r="G18" s="324">
        <v>-1247395</v>
      </c>
      <c r="H18" s="324">
        <v>-4572324</v>
      </c>
      <c r="I18" s="324">
        <v>-1114637</v>
      </c>
      <c r="J18" s="324">
        <v>-1090219</v>
      </c>
      <c r="K18" s="55">
        <v>-1099776</v>
      </c>
      <c r="L18" s="55">
        <v>-4095391</v>
      </c>
      <c r="M18" s="55">
        <v>-945962</v>
      </c>
      <c r="N18" s="55">
        <v>-2388293</v>
      </c>
      <c r="O18" s="55">
        <v>-924250</v>
      </c>
      <c r="P18" s="55">
        <v>-3438643</v>
      </c>
      <c r="Q18" s="55">
        <v>-788479</v>
      </c>
      <c r="R18" s="55">
        <v>-968335</v>
      </c>
      <c r="S18" s="55">
        <v>-737591</v>
      </c>
      <c r="T18" s="55">
        <v>-3320888</v>
      </c>
      <c r="U18" s="55">
        <v>-777767</v>
      </c>
      <c r="V18" s="55">
        <v>-898888</v>
      </c>
      <c r="W18" s="55">
        <v>-725185</v>
      </c>
      <c r="X18" s="55">
        <v>-4250795</v>
      </c>
      <c r="Y18" s="55">
        <v>-1766909</v>
      </c>
      <c r="Z18" s="55">
        <v>-928365</v>
      </c>
    </row>
    <row r="19" spans="2:26" x14ac:dyDescent="0.25">
      <c r="B19" s="199"/>
      <c r="C19" s="200">
        <v>-6932304</v>
      </c>
      <c r="D19" s="200">
        <v>-6800144</v>
      </c>
      <c r="G19" s="200">
        <v>-7032407</v>
      </c>
      <c r="H19" s="200">
        <v>-28465929</v>
      </c>
      <c r="I19" s="200">
        <v>-7383383</v>
      </c>
      <c r="J19" s="200">
        <v>-6800144</v>
      </c>
      <c r="K19" s="30">
        <v>-6562108</v>
      </c>
      <c r="L19" s="30">
        <v>-27652015</v>
      </c>
      <c r="M19" s="30">
        <v>-7577948</v>
      </c>
      <c r="N19" s="30">
        <v>-7857647</v>
      </c>
      <c r="O19" s="30">
        <v>-5951207</v>
      </c>
      <c r="P19" s="30">
        <v>-26923870</v>
      </c>
      <c r="Q19" s="30">
        <v>-7856864</v>
      </c>
      <c r="R19" s="30">
        <v>-5897187</v>
      </c>
      <c r="S19" s="30">
        <v>-5327917</v>
      </c>
      <c r="T19" s="30">
        <v>-19844752</v>
      </c>
      <c r="U19" s="30">
        <v>-4917555</v>
      </c>
      <c r="V19" s="30">
        <v>-4516350</v>
      </c>
      <c r="W19" s="30">
        <v>-4526888</v>
      </c>
      <c r="X19" s="30">
        <v>-19598673</v>
      </c>
      <c r="Y19" s="30">
        <v>-5893876</v>
      </c>
      <c r="Z19" s="30">
        <v>-4418046</v>
      </c>
    </row>
    <row r="20" spans="2:26" x14ac:dyDescent="0.25">
      <c r="B20" s="199"/>
      <c r="C20" s="324"/>
      <c r="D20" s="324"/>
      <c r="G20" s="324"/>
      <c r="H20" s="334"/>
      <c r="I20" s="324"/>
      <c r="J20" s="324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</row>
    <row r="21" spans="2:26" x14ac:dyDescent="0.25">
      <c r="B21" s="199" t="s">
        <v>409</v>
      </c>
      <c r="C21" s="325">
        <v>2503687</v>
      </c>
      <c r="D21" s="325">
        <v>2019373</v>
      </c>
      <c r="G21" s="325">
        <v>2025460</v>
      </c>
      <c r="H21" s="325">
        <v>8383840</v>
      </c>
      <c r="I21" s="325">
        <v>2043246</v>
      </c>
      <c r="J21" s="325">
        <v>2019373</v>
      </c>
      <c r="K21" s="58">
        <v>2084829</v>
      </c>
      <c r="L21" s="58">
        <v>6810793</v>
      </c>
      <c r="M21" s="58">
        <v>1645363</v>
      </c>
      <c r="N21" s="58">
        <v>355733</v>
      </c>
      <c r="O21" s="58">
        <v>1896241</v>
      </c>
      <c r="P21" s="58">
        <v>6722248</v>
      </c>
      <c r="Q21" s="58">
        <v>1667803</v>
      </c>
      <c r="R21" s="58">
        <v>1456795</v>
      </c>
      <c r="S21" s="58">
        <v>1782824</v>
      </c>
      <c r="T21" s="58">
        <v>5382873</v>
      </c>
      <c r="U21" s="58">
        <v>1503628</v>
      </c>
      <c r="V21" s="58">
        <v>983767</v>
      </c>
      <c r="W21" s="58">
        <v>1515096</v>
      </c>
      <c r="X21" s="58">
        <v>5888300</v>
      </c>
      <c r="Y21" s="58">
        <v>176910</v>
      </c>
      <c r="Z21" s="58">
        <v>2598747</v>
      </c>
    </row>
    <row r="22" spans="2:26" x14ac:dyDescent="0.25">
      <c r="B22" s="42"/>
      <c r="C22" s="201"/>
      <c r="D22" s="201"/>
      <c r="G22" s="201"/>
      <c r="H22" s="201"/>
      <c r="I22" s="201"/>
      <c r="J22" s="201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</row>
    <row r="23" spans="2:26" x14ac:dyDescent="0.25">
      <c r="B23" s="199" t="s">
        <v>522</v>
      </c>
      <c r="C23" s="201"/>
      <c r="D23" s="201"/>
      <c r="G23" s="201"/>
      <c r="H23" s="203"/>
      <c r="I23" s="201"/>
      <c r="J23" s="201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</row>
    <row r="24" spans="2:26" x14ac:dyDescent="0.25">
      <c r="B24" s="42" t="s">
        <v>212</v>
      </c>
      <c r="C24" s="201">
        <v>-77300</v>
      </c>
      <c r="D24" s="201">
        <v>-21266</v>
      </c>
      <c r="G24" s="201">
        <v>-75853</v>
      </c>
      <c r="H24" s="201">
        <v>-174663</v>
      </c>
      <c r="I24" s="201">
        <v>-43160</v>
      </c>
      <c r="J24" s="201">
        <v>-21266</v>
      </c>
      <c r="K24" s="28">
        <v>-7926</v>
      </c>
      <c r="L24" s="28">
        <v>-108731</v>
      </c>
      <c r="M24" s="28">
        <v>84852</v>
      </c>
      <c r="N24" s="28">
        <v>-90366</v>
      </c>
      <c r="O24" s="28">
        <v>-43092</v>
      </c>
      <c r="P24" s="28">
        <v>-143856</v>
      </c>
      <c r="Q24" s="28">
        <v>-37295</v>
      </c>
      <c r="R24" s="28">
        <v>985</v>
      </c>
      <c r="S24" s="28">
        <v>-43153</v>
      </c>
      <c r="T24" s="28">
        <v>-146705</v>
      </c>
      <c r="U24" s="28">
        <v>156829</v>
      </c>
      <c r="V24" s="28">
        <v>-115360</v>
      </c>
      <c r="W24" s="28">
        <v>-99740</v>
      </c>
      <c r="X24" s="28">
        <v>-237733</v>
      </c>
      <c r="Y24" s="28">
        <v>-101383</v>
      </c>
      <c r="Z24" s="28">
        <v>-47627</v>
      </c>
    </row>
    <row r="25" spans="2:26" x14ac:dyDescent="0.25">
      <c r="B25" s="42" t="s">
        <v>410</v>
      </c>
      <c r="C25" s="201">
        <v>-205700</v>
      </c>
      <c r="D25" s="201">
        <v>-169172</v>
      </c>
      <c r="G25" s="201">
        <v>-169746</v>
      </c>
      <c r="H25" s="201">
        <v>-707415</v>
      </c>
      <c r="I25" s="201">
        <v>-156809</v>
      </c>
      <c r="J25" s="201">
        <v>-169172</v>
      </c>
      <c r="K25" s="28">
        <v>-158671</v>
      </c>
      <c r="L25" s="28">
        <v>-789389</v>
      </c>
      <c r="M25" s="28">
        <v>-222457</v>
      </c>
      <c r="N25" s="28">
        <v>-202641</v>
      </c>
      <c r="O25" s="28">
        <v>-155748</v>
      </c>
      <c r="P25" s="28">
        <v>-576612</v>
      </c>
      <c r="Q25" s="28">
        <v>-167452</v>
      </c>
      <c r="R25" s="28">
        <v>-53409</v>
      </c>
      <c r="S25" s="28">
        <v>-205265</v>
      </c>
      <c r="T25" s="28">
        <v>-582457</v>
      </c>
      <c r="U25" s="28">
        <v>-141539</v>
      </c>
      <c r="V25" s="28">
        <v>-71110</v>
      </c>
      <c r="W25" s="28">
        <v>-191980</v>
      </c>
      <c r="X25" s="28">
        <v>-641810</v>
      </c>
      <c r="Y25" s="28">
        <v>-157357</v>
      </c>
      <c r="Z25" s="28">
        <v>-63328</v>
      </c>
    </row>
    <row r="26" spans="2:26" x14ac:dyDescent="0.25">
      <c r="B26" s="42" t="s">
        <v>523</v>
      </c>
      <c r="C26" s="324">
        <v>-226594</v>
      </c>
      <c r="D26" s="324">
        <v>-322545</v>
      </c>
      <c r="G26" s="324">
        <v>-187670</v>
      </c>
      <c r="H26" s="334">
        <v>-712767</v>
      </c>
      <c r="I26" s="324">
        <v>-219697</v>
      </c>
      <c r="J26" s="324">
        <v>-322545</v>
      </c>
      <c r="K26" s="55">
        <v>-211968</v>
      </c>
      <c r="L26" s="55">
        <v>-1124891</v>
      </c>
      <c r="M26" s="55">
        <v>-262258</v>
      </c>
      <c r="N26" s="55">
        <v>-333520</v>
      </c>
      <c r="O26" s="55">
        <v>-248925</v>
      </c>
      <c r="P26" s="55">
        <v>-592005</v>
      </c>
      <c r="Q26" s="55">
        <v>-245906</v>
      </c>
      <c r="R26" s="55">
        <v>-209554</v>
      </c>
      <c r="S26" s="55">
        <v>-160561</v>
      </c>
      <c r="T26" s="55">
        <v>-857957</v>
      </c>
      <c r="U26" s="55">
        <v>-250657</v>
      </c>
      <c r="V26" s="55">
        <v>-214320</v>
      </c>
      <c r="W26" s="55">
        <v>-199525</v>
      </c>
      <c r="X26" s="55">
        <v>-1997037</v>
      </c>
      <c r="Y26" s="55">
        <v>-333759</v>
      </c>
      <c r="Z26" s="55">
        <v>-960684</v>
      </c>
    </row>
    <row r="27" spans="2:26" x14ac:dyDescent="0.25">
      <c r="B27" s="42"/>
      <c r="C27" s="325">
        <v>-509594</v>
      </c>
      <c r="D27" s="325">
        <v>-512983</v>
      </c>
      <c r="G27" s="325">
        <v>-433269</v>
      </c>
      <c r="H27" s="325">
        <v>-1594845</v>
      </c>
      <c r="I27" s="325">
        <v>-419666</v>
      </c>
      <c r="J27" s="325">
        <v>-512983</v>
      </c>
      <c r="K27" s="58">
        <v>-378565</v>
      </c>
      <c r="L27" s="58">
        <v>-2023011</v>
      </c>
      <c r="M27" s="58">
        <v>-399863</v>
      </c>
      <c r="N27" s="58">
        <v>-626527</v>
      </c>
      <c r="O27" s="58">
        <v>-447765</v>
      </c>
      <c r="P27" s="58">
        <v>-1312473</v>
      </c>
      <c r="Q27" s="58">
        <v>-450653</v>
      </c>
      <c r="R27" s="58">
        <v>-261978</v>
      </c>
      <c r="S27" s="58">
        <v>-408979</v>
      </c>
      <c r="T27" s="58">
        <v>-1587119</v>
      </c>
      <c r="U27" s="58">
        <v>-235367</v>
      </c>
      <c r="V27" s="58">
        <v>-400790</v>
      </c>
      <c r="W27" s="58">
        <v>-491245</v>
      </c>
      <c r="X27" s="58">
        <v>-2876580</v>
      </c>
      <c r="Y27" s="58">
        <v>-592499</v>
      </c>
      <c r="Z27" s="58">
        <v>-1071639</v>
      </c>
    </row>
    <row r="28" spans="2:26" x14ac:dyDescent="0.25">
      <c r="B28" s="42"/>
      <c r="C28" s="201"/>
      <c r="D28" s="201"/>
      <c r="G28" s="201"/>
      <c r="H28" s="201"/>
      <c r="I28" s="201"/>
      <c r="J28" s="201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2:26" x14ac:dyDescent="0.25">
      <c r="B29" s="42" t="s">
        <v>411</v>
      </c>
      <c r="C29" s="201" t="s">
        <v>5</v>
      </c>
      <c r="D29" s="201" t="s">
        <v>5</v>
      </c>
      <c r="G29" s="201" t="s">
        <v>5</v>
      </c>
      <c r="H29" s="201" t="s">
        <v>5</v>
      </c>
      <c r="I29" s="201" t="s">
        <v>5</v>
      </c>
      <c r="J29" s="201" t="s">
        <v>5</v>
      </c>
      <c r="K29" s="28" t="s">
        <v>5</v>
      </c>
      <c r="L29" s="28" t="s">
        <v>5</v>
      </c>
      <c r="M29" s="28" t="s">
        <v>5</v>
      </c>
      <c r="N29" s="28" t="s">
        <v>5</v>
      </c>
      <c r="O29" s="28" t="s">
        <v>5</v>
      </c>
      <c r="P29" s="28">
        <v>214955</v>
      </c>
      <c r="Q29" s="28" t="s">
        <v>5</v>
      </c>
      <c r="R29" s="28">
        <v>211247</v>
      </c>
      <c r="S29" s="28">
        <v>5816</v>
      </c>
      <c r="T29" s="28">
        <v>502108</v>
      </c>
      <c r="U29" s="28" t="s">
        <v>5</v>
      </c>
      <c r="V29" s="28">
        <v>479703</v>
      </c>
      <c r="W29" s="28" t="s">
        <v>5</v>
      </c>
      <c r="X29" s="28" t="s">
        <v>5</v>
      </c>
      <c r="Y29" s="28" t="s">
        <v>5</v>
      </c>
      <c r="Z29" s="28" t="s">
        <v>5</v>
      </c>
    </row>
    <row r="30" spans="2:26" x14ac:dyDescent="0.25">
      <c r="B30" s="42" t="s">
        <v>412</v>
      </c>
      <c r="C30" s="201" t="s">
        <v>5</v>
      </c>
      <c r="D30" s="201" t="s">
        <v>5</v>
      </c>
      <c r="G30" s="201" t="s">
        <v>5</v>
      </c>
      <c r="H30" s="201" t="s">
        <v>5</v>
      </c>
      <c r="I30" s="201" t="s">
        <v>5</v>
      </c>
      <c r="J30" s="201" t="s">
        <v>5</v>
      </c>
      <c r="K30" s="28" t="s">
        <v>5</v>
      </c>
      <c r="L30" s="28" t="s">
        <v>5</v>
      </c>
      <c r="M30" s="28" t="s">
        <v>5</v>
      </c>
      <c r="N30" s="28" t="s">
        <v>5</v>
      </c>
      <c r="O30" s="28" t="s">
        <v>5</v>
      </c>
      <c r="P30" s="28">
        <v>1031809</v>
      </c>
      <c r="Q30" s="28">
        <v>122208</v>
      </c>
      <c r="R30" s="28">
        <v>909601</v>
      </c>
      <c r="S30" s="28" t="s">
        <v>5</v>
      </c>
      <c r="T30" s="28" t="s">
        <v>5</v>
      </c>
      <c r="U30" s="28" t="s">
        <v>5</v>
      </c>
      <c r="V30" s="28" t="s">
        <v>5</v>
      </c>
      <c r="W30" s="28" t="s">
        <v>5</v>
      </c>
      <c r="X30" s="28" t="s">
        <v>5</v>
      </c>
      <c r="Y30" s="28" t="s">
        <v>5</v>
      </c>
      <c r="Z30" s="28" t="s">
        <v>5</v>
      </c>
    </row>
    <row r="31" spans="2:26" x14ac:dyDescent="0.25">
      <c r="B31" s="42" t="s">
        <v>413</v>
      </c>
      <c r="C31" s="201">
        <v>0</v>
      </c>
      <c r="D31" s="201">
        <v>0</v>
      </c>
      <c r="G31" s="201">
        <v>0</v>
      </c>
      <c r="H31" s="203" t="s">
        <v>5</v>
      </c>
      <c r="I31" s="201">
        <v>0</v>
      </c>
      <c r="J31" s="201">
        <v>0</v>
      </c>
      <c r="K31" s="28">
        <v>0</v>
      </c>
      <c r="L31" s="28">
        <v>51512</v>
      </c>
      <c r="M31" s="28">
        <v>0</v>
      </c>
      <c r="N31" s="28">
        <v>0</v>
      </c>
      <c r="O31" s="28">
        <v>0</v>
      </c>
      <c r="P31" s="28">
        <v>108550</v>
      </c>
      <c r="Q31" s="28">
        <v>0</v>
      </c>
      <c r="R31" s="28">
        <v>0</v>
      </c>
      <c r="S31" s="28">
        <v>108550</v>
      </c>
      <c r="T31" s="28">
        <v>0</v>
      </c>
      <c r="U31" s="28">
        <v>0</v>
      </c>
      <c r="V31" s="28">
        <v>0</v>
      </c>
      <c r="W31" s="28">
        <v>0</v>
      </c>
      <c r="X31" s="28">
        <v>0</v>
      </c>
      <c r="Y31" s="28">
        <v>0</v>
      </c>
      <c r="Z31" s="28">
        <v>0</v>
      </c>
    </row>
    <row r="32" spans="2:26" x14ac:dyDescent="0.25">
      <c r="B32" s="42" t="s">
        <v>414</v>
      </c>
      <c r="C32" s="201" t="s">
        <v>5</v>
      </c>
      <c r="D32" s="201" t="s">
        <v>5</v>
      </c>
      <c r="G32" s="201" t="s">
        <v>5</v>
      </c>
      <c r="H32" s="203" t="s">
        <v>5</v>
      </c>
      <c r="I32" s="201" t="s">
        <v>5</v>
      </c>
      <c r="J32" s="201" t="s">
        <v>5</v>
      </c>
      <c r="K32" s="28" t="s">
        <v>5</v>
      </c>
      <c r="L32" s="28">
        <v>5340</v>
      </c>
      <c r="M32" s="28" t="s">
        <v>5</v>
      </c>
      <c r="N32" s="28" t="s">
        <v>5</v>
      </c>
      <c r="O32" s="28" t="s">
        <v>5</v>
      </c>
      <c r="P32" s="28">
        <v>4006</v>
      </c>
      <c r="Q32" s="28" t="s">
        <v>5</v>
      </c>
      <c r="R32" s="28" t="s">
        <v>5</v>
      </c>
      <c r="S32" s="28" t="s">
        <v>5</v>
      </c>
      <c r="T32" s="28" t="s">
        <v>5</v>
      </c>
      <c r="U32" s="28" t="s">
        <v>5</v>
      </c>
      <c r="V32" s="28" t="s">
        <v>5</v>
      </c>
      <c r="W32" s="28" t="s">
        <v>5</v>
      </c>
      <c r="X32" s="28" t="s">
        <v>5</v>
      </c>
      <c r="Y32" s="28" t="s">
        <v>5</v>
      </c>
      <c r="Z32" s="28" t="s">
        <v>5</v>
      </c>
    </row>
    <row r="33" spans="2:26" x14ac:dyDescent="0.25">
      <c r="B33" s="42" t="s">
        <v>415</v>
      </c>
      <c r="C33" s="201">
        <v>0</v>
      </c>
      <c r="D33" s="201">
        <v>0</v>
      </c>
      <c r="G33" s="201">
        <v>0</v>
      </c>
      <c r="H33" s="203" t="s">
        <v>5</v>
      </c>
      <c r="I33" s="201">
        <v>0</v>
      </c>
      <c r="J33" s="201">
        <v>0</v>
      </c>
      <c r="K33" s="28">
        <v>0</v>
      </c>
      <c r="L33" s="28">
        <v>0</v>
      </c>
      <c r="M33" s="28">
        <v>8641</v>
      </c>
      <c r="N33" s="28">
        <v>0</v>
      </c>
      <c r="O33" s="28">
        <v>0</v>
      </c>
      <c r="P33" s="28">
        <v>0</v>
      </c>
      <c r="Q33" s="28">
        <v>0</v>
      </c>
      <c r="R33" s="28">
        <v>0</v>
      </c>
      <c r="S33" s="28">
        <v>0</v>
      </c>
      <c r="T33" s="28">
        <v>51736</v>
      </c>
      <c r="U33" s="28"/>
      <c r="V33" s="28"/>
      <c r="W33" s="28">
        <v>51736</v>
      </c>
      <c r="X33" s="28"/>
      <c r="Y33" s="28">
        <v>0</v>
      </c>
      <c r="Z33" s="28">
        <v>0</v>
      </c>
    </row>
    <row r="34" spans="2:26" x14ac:dyDescent="0.25">
      <c r="B34" s="42" t="s">
        <v>416</v>
      </c>
      <c r="C34" s="201">
        <v>0</v>
      </c>
      <c r="D34" s="201">
        <v>0</v>
      </c>
      <c r="G34" s="201">
        <v>0</v>
      </c>
      <c r="H34" s="203" t="s">
        <v>5</v>
      </c>
      <c r="I34" s="201">
        <v>0</v>
      </c>
      <c r="J34" s="201">
        <v>0</v>
      </c>
      <c r="K34" s="28">
        <v>0</v>
      </c>
      <c r="L34" s="28">
        <v>0</v>
      </c>
      <c r="M34" s="28"/>
      <c r="N34" s="28">
        <v>0</v>
      </c>
      <c r="O34" s="28">
        <v>0</v>
      </c>
      <c r="P34" s="28">
        <v>0</v>
      </c>
      <c r="Q34" s="28">
        <v>0</v>
      </c>
      <c r="R34" s="28">
        <v>0</v>
      </c>
      <c r="S34" s="28">
        <v>0</v>
      </c>
      <c r="T34" s="28"/>
      <c r="U34" s="28">
        <v>-136244</v>
      </c>
      <c r="V34" s="28">
        <v>475137</v>
      </c>
      <c r="W34" s="28">
        <v>-609160</v>
      </c>
      <c r="X34" s="28"/>
      <c r="Y34" s="28">
        <v>0</v>
      </c>
      <c r="Z34" s="28">
        <v>0</v>
      </c>
    </row>
    <row r="35" spans="2:26" x14ac:dyDescent="0.25">
      <c r="B35" s="42" t="s">
        <v>417</v>
      </c>
      <c r="C35" s="201">
        <v>0</v>
      </c>
      <c r="D35" s="201">
        <v>0</v>
      </c>
      <c r="G35" s="201">
        <v>0</v>
      </c>
      <c r="H35" s="203" t="s">
        <v>5</v>
      </c>
      <c r="I35" s="201">
        <v>0</v>
      </c>
      <c r="J35" s="201">
        <v>0</v>
      </c>
      <c r="K35" s="28">
        <v>0</v>
      </c>
      <c r="L35" s="28">
        <v>0</v>
      </c>
      <c r="M35" s="28"/>
      <c r="N35" s="28">
        <v>0</v>
      </c>
      <c r="O35" s="28">
        <v>0</v>
      </c>
      <c r="P35" s="28">
        <v>0</v>
      </c>
      <c r="Q35" s="28">
        <v>0</v>
      </c>
      <c r="R35" s="28">
        <v>0</v>
      </c>
      <c r="S35" s="28">
        <v>0</v>
      </c>
      <c r="T35" s="28">
        <v>0</v>
      </c>
      <c r="U35" s="28">
        <v>0</v>
      </c>
      <c r="V35" s="28">
        <v>0</v>
      </c>
      <c r="W35" s="28">
        <v>0</v>
      </c>
      <c r="X35" s="28">
        <v>72738</v>
      </c>
      <c r="Y35" s="28">
        <v>0</v>
      </c>
      <c r="Z35" s="28">
        <v>0</v>
      </c>
    </row>
    <row r="36" spans="2:26" x14ac:dyDescent="0.25">
      <c r="B36" s="42" t="s">
        <v>524</v>
      </c>
      <c r="C36" s="201">
        <v>0</v>
      </c>
      <c r="D36" s="201">
        <v>0</v>
      </c>
      <c r="G36" s="201">
        <v>0</v>
      </c>
      <c r="H36" s="203">
        <v>8638</v>
      </c>
      <c r="I36" s="201">
        <v>0</v>
      </c>
      <c r="J36" s="201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28">
        <v>0</v>
      </c>
      <c r="Q36" s="28">
        <v>0</v>
      </c>
      <c r="R36" s="28">
        <v>0</v>
      </c>
      <c r="S36" s="28">
        <v>0</v>
      </c>
      <c r="T36" s="28">
        <v>0</v>
      </c>
      <c r="U36" s="28">
        <v>0</v>
      </c>
      <c r="V36" s="28">
        <v>0</v>
      </c>
      <c r="W36" s="28">
        <v>0</v>
      </c>
      <c r="X36" s="28">
        <v>0</v>
      </c>
      <c r="Y36" s="28">
        <v>0</v>
      </c>
      <c r="Z36" s="28">
        <v>0</v>
      </c>
    </row>
    <row r="37" spans="2:26" x14ac:dyDescent="0.25">
      <c r="B37" s="42" t="s">
        <v>418</v>
      </c>
      <c r="C37" s="324">
        <v>38711</v>
      </c>
      <c r="D37" s="324">
        <v>69281</v>
      </c>
      <c r="G37" s="324">
        <v>90501</v>
      </c>
      <c r="H37" s="334">
        <v>432493</v>
      </c>
      <c r="I37" s="324">
        <v>70916</v>
      </c>
      <c r="J37" s="324">
        <v>69281</v>
      </c>
      <c r="K37" s="55">
        <v>153041</v>
      </c>
      <c r="L37" s="55">
        <v>842543</v>
      </c>
      <c r="M37" s="55">
        <v>247544</v>
      </c>
      <c r="N37" s="55">
        <v>336468</v>
      </c>
      <c r="O37" s="55">
        <v>184428</v>
      </c>
      <c r="P37" s="55">
        <v>182076</v>
      </c>
      <c r="Q37" s="55">
        <v>287319</v>
      </c>
      <c r="R37" s="55">
        <v>32792</v>
      </c>
      <c r="S37" s="55">
        <v>118687</v>
      </c>
      <c r="T37" s="55">
        <v>356698</v>
      </c>
      <c r="U37" s="55">
        <v>97822</v>
      </c>
      <c r="V37" s="55">
        <v>82534</v>
      </c>
      <c r="W37" s="55">
        <v>81942</v>
      </c>
      <c r="X37" s="55">
        <v>125351</v>
      </c>
      <c r="Y37" s="55">
        <v>57780</v>
      </c>
      <c r="Z37" s="55">
        <v>36274</v>
      </c>
    </row>
    <row r="38" spans="2:26" x14ac:dyDescent="0.25">
      <c r="B38" s="199" t="s">
        <v>419</v>
      </c>
      <c r="C38" s="328">
        <v>2032804</v>
      </c>
      <c r="D38" s="328">
        <v>1575671</v>
      </c>
      <c r="G38" s="328">
        <v>1682692</v>
      </c>
      <c r="H38" s="328">
        <v>7230126</v>
      </c>
      <c r="I38" s="328">
        <v>1694496</v>
      </c>
      <c r="J38" s="328">
        <v>1575671</v>
      </c>
      <c r="K38" s="57">
        <v>1859305</v>
      </c>
      <c r="L38" s="57">
        <v>5687177</v>
      </c>
      <c r="M38" s="57">
        <v>1501685</v>
      </c>
      <c r="N38" s="57">
        <v>65674</v>
      </c>
      <c r="O38" s="57">
        <v>1632904</v>
      </c>
      <c r="P38" s="57">
        <v>6951171</v>
      </c>
      <c r="Q38" s="57">
        <v>1626677</v>
      </c>
      <c r="R38" s="57">
        <v>2348457</v>
      </c>
      <c r="S38" s="57">
        <v>1606898</v>
      </c>
      <c r="T38" s="57">
        <v>4706296</v>
      </c>
      <c r="U38" s="57">
        <v>1229839</v>
      </c>
      <c r="V38" s="57">
        <v>1620351</v>
      </c>
      <c r="W38" s="57">
        <v>548369</v>
      </c>
      <c r="X38" s="57">
        <v>3209809</v>
      </c>
      <c r="Y38" s="57">
        <v>-357809</v>
      </c>
      <c r="Z38" s="57">
        <v>1563382</v>
      </c>
    </row>
    <row r="39" spans="2:26" x14ac:dyDescent="0.25">
      <c r="B39" s="42"/>
      <c r="C39" s="201"/>
      <c r="D39" s="201"/>
      <c r="G39" s="201"/>
      <c r="H39" s="201"/>
      <c r="I39" s="201"/>
      <c r="J39" s="201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</row>
    <row r="40" spans="2:26" x14ac:dyDescent="0.25">
      <c r="B40" s="42" t="s">
        <v>420</v>
      </c>
      <c r="C40" s="201">
        <v>725474</v>
      </c>
      <c r="D40" s="201">
        <v>512131</v>
      </c>
      <c r="G40" s="201">
        <v>218245</v>
      </c>
      <c r="H40" s="203">
        <v>1272079</v>
      </c>
      <c r="I40" s="201">
        <v>345678</v>
      </c>
      <c r="J40" s="201">
        <v>512131</v>
      </c>
      <c r="K40" s="28">
        <v>329784</v>
      </c>
      <c r="L40" s="28">
        <v>1499794</v>
      </c>
      <c r="M40" s="28">
        <v>411748</v>
      </c>
      <c r="N40" s="28">
        <v>362931</v>
      </c>
      <c r="O40" s="28">
        <v>1109025</v>
      </c>
      <c r="P40" s="28">
        <v>843306</v>
      </c>
      <c r="Q40" s="28">
        <v>278827</v>
      </c>
      <c r="R40" s="28">
        <v>1288425</v>
      </c>
      <c r="S40" s="28">
        <v>154415</v>
      </c>
      <c r="T40" s="28">
        <v>2445405</v>
      </c>
      <c r="U40" s="28">
        <v>165368</v>
      </c>
      <c r="V40" s="28">
        <v>670078</v>
      </c>
      <c r="W40" s="28">
        <v>1482735</v>
      </c>
      <c r="X40" s="28">
        <v>3206850</v>
      </c>
      <c r="Y40" s="28">
        <v>618975</v>
      </c>
      <c r="Z40" s="28">
        <v>2272470</v>
      </c>
    </row>
    <row r="41" spans="2:26" x14ac:dyDescent="0.25">
      <c r="B41" s="42" t="s">
        <v>421</v>
      </c>
      <c r="C41" s="324">
        <v>-607355</v>
      </c>
      <c r="D41" s="324">
        <v>-472321</v>
      </c>
      <c r="G41" s="324">
        <v>-399231</v>
      </c>
      <c r="H41" s="324">
        <v>-1651045</v>
      </c>
      <c r="I41" s="324">
        <v>-560530</v>
      </c>
      <c r="J41" s="324">
        <v>-472321</v>
      </c>
      <c r="K41" s="55">
        <v>-435698</v>
      </c>
      <c r="L41" s="55">
        <v>-3066415</v>
      </c>
      <c r="M41" s="55">
        <v>-521209</v>
      </c>
      <c r="N41" s="55">
        <v>-1233880</v>
      </c>
      <c r="O41" s="55">
        <v>-794862</v>
      </c>
      <c r="P41" s="55">
        <v>-3096299</v>
      </c>
      <c r="Q41" s="55">
        <v>-1434317</v>
      </c>
      <c r="R41" s="55">
        <v>-809897</v>
      </c>
      <c r="S41" s="55">
        <v>-1419635</v>
      </c>
      <c r="T41" s="55">
        <v>-3350864</v>
      </c>
      <c r="U41" s="55">
        <v>-661987</v>
      </c>
      <c r="V41" s="55">
        <v>-705395</v>
      </c>
      <c r="W41" s="55">
        <v>-2209481</v>
      </c>
      <c r="X41" s="55">
        <v>-1846573</v>
      </c>
      <c r="Y41" s="55">
        <v>-852766</v>
      </c>
      <c r="Z41" s="55">
        <v>-363883</v>
      </c>
    </row>
    <row r="42" spans="2:26" x14ac:dyDescent="0.25">
      <c r="B42" s="199" t="s">
        <v>422</v>
      </c>
      <c r="C42" s="328">
        <v>118119</v>
      </c>
      <c r="D42" s="328">
        <v>39810</v>
      </c>
      <c r="G42" s="328">
        <v>-180986</v>
      </c>
      <c r="H42" s="328">
        <v>-378966</v>
      </c>
      <c r="I42" s="328">
        <v>-214852</v>
      </c>
      <c r="J42" s="328">
        <v>39810</v>
      </c>
      <c r="K42" s="57">
        <v>-105914</v>
      </c>
      <c r="L42" s="57">
        <v>-1566621</v>
      </c>
      <c r="M42" s="57">
        <v>-109461</v>
      </c>
      <c r="N42" s="57">
        <v>-870949</v>
      </c>
      <c r="O42" s="57">
        <v>314163</v>
      </c>
      <c r="P42" s="57">
        <v>-2252993</v>
      </c>
      <c r="Q42" s="57">
        <v>-1155490</v>
      </c>
      <c r="R42" s="57">
        <v>478528</v>
      </c>
      <c r="S42" s="57">
        <v>-1265220</v>
      </c>
      <c r="T42" s="57">
        <v>-905459</v>
      </c>
      <c r="U42" s="57">
        <v>-496619</v>
      </c>
      <c r="V42" s="57">
        <v>-35317</v>
      </c>
      <c r="W42" s="57">
        <v>-726746</v>
      </c>
      <c r="X42" s="57">
        <v>1360277</v>
      </c>
      <c r="Y42" s="57">
        <v>-233791</v>
      </c>
      <c r="Z42" s="57">
        <v>1908587</v>
      </c>
    </row>
    <row r="43" spans="2:26" x14ac:dyDescent="0.25">
      <c r="B43" s="42"/>
      <c r="C43" s="329"/>
      <c r="D43" s="329"/>
      <c r="G43" s="329"/>
      <c r="H43" s="335"/>
      <c r="I43" s="329"/>
      <c r="J43" s="329"/>
      <c r="K43" s="326"/>
      <c r="L43" s="326"/>
      <c r="M43" s="326"/>
      <c r="N43" s="326"/>
      <c r="O43" s="326"/>
      <c r="P43" s="326"/>
      <c r="Q43" s="326"/>
      <c r="R43" s="326"/>
      <c r="S43" s="326"/>
      <c r="T43" s="326"/>
      <c r="U43" s="326"/>
      <c r="V43" s="326"/>
      <c r="W43" s="326"/>
      <c r="X43" s="326"/>
      <c r="Y43" s="326"/>
      <c r="Z43" s="326"/>
    </row>
    <row r="44" spans="2:26" x14ac:dyDescent="0.25">
      <c r="B44" s="199" t="s">
        <v>423</v>
      </c>
      <c r="C44" s="328">
        <v>2150923</v>
      </c>
      <c r="D44" s="328">
        <v>1615481</v>
      </c>
      <c r="G44" s="328">
        <v>1501706</v>
      </c>
      <c r="H44" s="328">
        <v>6851160</v>
      </c>
      <c r="I44" s="328">
        <v>1479644</v>
      </c>
      <c r="J44" s="328">
        <v>1615481</v>
      </c>
      <c r="K44" s="57">
        <v>1753391</v>
      </c>
      <c r="L44" s="57">
        <v>4120556</v>
      </c>
      <c r="M44" s="57">
        <v>1392224</v>
      </c>
      <c r="N44" s="57">
        <v>-805275</v>
      </c>
      <c r="O44" s="57">
        <v>1947067</v>
      </c>
      <c r="P44" s="57">
        <v>4698178</v>
      </c>
      <c r="Q44" s="57">
        <v>471187</v>
      </c>
      <c r="R44" s="57">
        <v>2826985</v>
      </c>
      <c r="S44" s="57">
        <v>341678</v>
      </c>
      <c r="T44" s="57">
        <v>3800837</v>
      </c>
      <c r="U44" s="57">
        <v>733220</v>
      </c>
      <c r="V44" s="57">
        <v>1585034</v>
      </c>
      <c r="W44" s="57">
        <v>-178377</v>
      </c>
      <c r="X44" s="57">
        <v>4570086</v>
      </c>
      <c r="Y44" s="57">
        <v>-591600</v>
      </c>
      <c r="Z44" s="57">
        <v>3471969</v>
      </c>
    </row>
    <row r="45" spans="2:26" x14ac:dyDescent="0.25">
      <c r="B45" s="42"/>
      <c r="C45" s="201"/>
      <c r="D45" s="201"/>
      <c r="G45" s="201"/>
      <c r="H45" s="201"/>
      <c r="I45" s="201"/>
      <c r="J45" s="201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</row>
    <row r="46" spans="2:26" x14ac:dyDescent="0.25">
      <c r="B46" s="42" t="s">
        <v>424</v>
      </c>
      <c r="C46" s="201">
        <v>-149309</v>
      </c>
      <c r="D46" s="201">
        <v>-163698</v>
      </c>
      <c r="G46" s="201">
        <v>-259932</v>
      </c>
      <c r="H46" s="203">
        <v>-943007</v>
      </c>
      <c r="I46" s="201">
        <v>-181282</v>
      </c>
      <c r="J46" s="201">
        <v>-163698</v>
      </c>
      <c r="K46" s="28">
        <v>-399333</v>
      </c>
      <c r="L46" s="28">
        <v>-950490</v>
      </c>
      <c r="M46" s="28">
        <v>-284047</v>
      </c>
      <c r="N46" s="28">
        <v>203225</v>
      </c>
      <c r="O46" s="28">
        <v>-573914</v>
      </c>
      <c r="P46" s="28">
        <v>-1156082</v>
      </c>
      <c r="Q46" s="28">
        <v>-71213</v>
      </c>
      <c r="R46" s="28">
        <v>-601560</v>
      </c>
      <c r="S46" s="28">
        <v>-263706</v>
      </c>
      <c r="T46" s="28">
        <v>-683681</v>
      </c>
      <c r="U46" s="28">
        <v>-172776</v>
      </c>
      <c r="V46" s="28">
        <v>-198803</v>
      </c>
      <c r="W46" s="28">
        <v>-195516</v>
      </c>
      <c r="X46" s="28">
        <v>-1454341</v>
      </c>
      <c r="Y46" s="28">
        <v>-30508</v>
      </c>
      <c r="Z46" s="28">
        <v>-973424</v>
      </c>
    </row>
    <row r="47" spans="2:26" x14ac:dyDescent="0.25">
      <c r="B47" s="42" t="s">
        <v>425</v>
      </c>
      <c r="C47" s="201">
        <v>-313028</v>
      </c>
      <c r="D47" s="201">
        <v>-206401</v>
      </c>
      <c r="G47" s="201">
        <v>-88883</v>
      </c>
      <c r="H47" s="201">
        <v>-141318</v>
      </c>
      <c r="I47" s="201">
        <v>-61055</v>
      </c>
      <c r="J47" s="201">
        <v>-206401</v>
      </c>
      <c r="K47" s="28">
        <v>44148</v>
      </c>
      <c r="L47" s="28">
        <v>924301</v>
      </c>
      <c r="M47" s="28">
        <v>74176</v>
      </c>
      <c r="N47" s="28">
        <v>651926</v>
      </c>
      <c r="O47" s="28">
        <v>82418</v>
      </c>
      <c r="P47" s="28">
        <v>210773</v>
      </c>
      <c r="Q47" s="28">
        <v>21503</v>
      </c>
      <c r="R47" s="28">
        <v>-278786</v>
      </c>
      <c r="S47" s="28">
        <v>344379</v>
      </c>
      <c r="T47" s="28">
        <v>-252035</v>
      </c>
      <c r="U47" s="28">
        <v>18855</v>
      </c>
      <c r="V47" s="28">
        <v>-304581</v>
      </c>
      <c r="W47" s="28">
        <v>305760</v>
      </c>
      <c r="X47" s="28">
        <v>-145459</v>
      </c>
      <c r="Y47" s="28">
        <v>116207</v>
      </c>
      <c r="Z47" s="28">
        <v>-383559</v>
      </c>
    </row>
    <row r="48" spans="2:26" x14ac:dyDescent="0.25">
      <c r="B48" s="199" t="s">
        <v>426</v>
      </c>
      <c r="C48" s="330">
        <v>1688586</v>
      </c>
      <c r="D48" s="330">
        <v>1245382</v>
      </c>
      <c r="G48" s="330">
        <v>1152891</v>
      </c>
      <c r="H48" s="330">
        <v>5766835</v>
      </c>
      <c r="I48" s="330">
        <f>SUM(I44:I47)</f>
        <v>1237307</v>
      </c>
      <c r="J48" s="330">
        <v>1245382</v>
      </c>
      <c r="K48" s="155">
        <v>1398206</v>
      </c>
      <c r="L48" s="155">
        <v>4094367</v>
      </c>
      <c r="M48" s="155">
        <v>1182353</v>
      </c>
      <c r="N48" s="155">
        <v>49876</v>
      </c>
      <c r="O48" s="155">
        <v>1455571</v>
      </c>
      <c r="P48" s="155">
        <v>3752869</v>
      </c>
      <c r="Q48" s="155">
        <v>421477</v>
      </c>
      <c r="R48" s="155">
        <v>1946639</v>
      </c>
      <c r="S48" s="155">
        <v>422351</v>
      </c>
      <c r="T48" s="155">
        <v>2865121</v>
      </c>
      <c r="U48" s="155">
        <v>579299</v>
      </c>
      <c r="V48" s="155">
        <v>1081650</v>
      </c>
      <c r="W48" s="155">
        <v>-68133</v>
      </c>
      <c r="X48" s="155">
        <v>2970286</v>
      </c>
      <c r="Y48" s="155">
        <v>-505901</v>
      </c>
      <c r="Z48" s="155">
        <v>2114986</v>
      </c>
    </row>
    <row r="49" spans="2:26" x14ac:dyDescent="0.25">
      <c r="B49" s="199"/>
      <c r="C49" s="200"/>
      <c r="D49" s="200"/>
      <c r="G49" s="200"/>
      <c r="H49" s="200"/>
      <c r="I49" s="200"/>
      <c r="J49" s="20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</row>
    <row r="50" spans="2:26" x14ac:dyDescent="0.25">
      <c r="B50" s="199" t="s">
        <v>427</v>
      </c>
      <c r="C50" s="200"/>
      <c r="D50" s="200"/>
      <c r="G50" s="200"/>
      <c r="H50" s="200"/>
      <c r="I50" s="200"/>
      <c r="J50" s="20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</row>
    <row r="51" spans="2:26" x14ac:dyDescent="0.25">
      <c r="B51" s="42" t="s">
        <v>428</v>
      </c>
      <c r="C51" s="331"/>
      <c r="D51" s="331"/>
      <c r="G51" s="331">
        <v>0</v>
      </c>
      <c r="H51" s="331" t="s">
        <v>5</v>
      </c>
      <c r="I51" s="331" t="s">
        <v>5</v>
      </c>
      <c r="J51" s="331" t="s">
        <v>5</v>
      </c>
      <c r="K51" s="156" t="s">
        <v>5</v>
      </c>
      <c r="L51" s="156" t="s">
        <v>5</v>
      </c>
      <c r="M51" s="156" t="s">
        <v>5</v>
      </c>
      <c r="N51" s="156" t="s">
        <v>5</v>
      </c>
      <c r="O51" s="156" t="s">
        <v>5</v>
      </c>
      <c r="P51" s="156" t="s">
        <v>5</v>
      </c>
      <c r="Q51" s="156" t="s">
        <v>5</v>
      </c>
      <c r="R51" s="156" t="s">
        <v>5</v>
      </c>
      <c r="S51" s="156" t="s">
        <v>5</v>
      </c>
      <c r="T51" s="156" t="s">
        <v>5</v>
      </c>
      <c r="U51" s="156" t="s">
        <v>5</v>
      </c>
      <c r="V51" s="156" t="s">
        <v>5</v>
      </c>
      <c r="W51" s="156" t="s">
        <v>5</v>
      </c>
      <c r="X51" s="156">
        <v>224067</v>
      </c>
      <c r="Y51" s="156">
        <v>224067</v>
      </c>
      <c r="Z51" s="156" t="s">
        <v>5</v>
      </c>
    </row>
    <row r="52" spans="2:26" x14ac:dyDescent="0.25">
      <c r="B52" s="199" t="s">
        <v>429</v>
      </c>
      <c r="C52" s="328">
        <v>1688586</v>
      </c>
      <c r="D52" s="328">
        <v>1245382</v>
      </c>
      <c r="G52" s="328">
        <v>1152891</v>
      </c>
      <c r="H52" s="328">
        <v>5766835</v>
      </c>
      <c r="I52" s="328">
        <v>1237307</v>
      </c>
      <c r="J52" s="328">
        <v>1245382</v>
      </c>
      <c r="K52" s="57">
        <v>1398206</v>
      </c>
      <c r="L52" s="57">
        <v>4094367</v>
      </c>
      <c r="M52" s="57">
        <v>1182353</v>
      </c>
      <c r="N52" s="57">
        <v>49876</v>
      </c>
      <c r="O52" s="57">
        <v>1455571</v>
      </c>
      <c r="P52" s="57">
        <v>3752869</v>
      </c>
      <c r="Q52" s="57">
        <v>421477</v>
      </c>
      <c r="R52" s="57">
        <v>1946639</v>
      </c>
      <c r="S52" s="57">
        <v>422351</v>
      </c>
      <c r="T52" s="57">
        <v>2865121</v>
      </c>
      <c r="U52" s="57">
        <v>579299</v>
      </c>
      <c r="V52" s="57">
        <v>1081650</v>
      </c>
      <c r="W52" s="57">
        <v>-68133</v>
      </c>
      <c r="X52" s="57">
        <v>3194353</v>
      </c>
      <c r="Y52" s="57">
        <v>-281834</v>
      </c>
      <c r="Z52" s="57">
        <v>2114986</v>
      </c>
    </row>
    <row r="53" spans="2:26" x14ac:dyDescent="0.25">
      <c r="B53" s="199"/>
      <c r="C53" s="200"/>
      <c r="D53" s="200"/>
      <c r="G53" s="200"/>
      <c r="H53" s="336"/>
      <c r="I53" s="200"/>
      <c r="J53" s="20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</row>
    <row r="54" spans="2:26" x14ac:dyDescent="0.25">
      <c r="B54" s="199" t="s">
        <v>430</v>
      </c>
      <c r="C54" s="201"/>
      <c r="D54" s="201"/>
      <c r="G54" s="201"/>
      <c r="H54" s="203"/>
      <c r="I54" s="201"/>
      <c r="J54" s="201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</row>
    <row r="55" spans="2:26" x14ac:dyDescent="0.25">
      <c r="B55" s="199" t="s">
        <v>431</v>
      </c>
      <c r="C55" s="201"/>
      <c r="D55" s="201"/>
      <c r="G55" s="201"/>
      <c r="H55" s="203"/>
      <c r="I55" s="201"/>
      <c r="J55" s="201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</row>
    <row r="56" spans="2:26" x14ac:dyDescent="0.25">
      <c r="B56" s="42" t="s">
        <v>426</v>
      </c>
      <c r="C56" s="201">
        <v>1687993</v>
      </c>
      <c r="D56" s="201">
        <v>1244683</v>
      </c>
      <c r="G56" s="201">
        <v>1152388</v>
      </c>
      <c r="H56" s="203">
        <v>5764273</v>
      </c>
      <c r="I56" s="201">
        <v>1236708</v>
      </c>
      <c r="J56" s="201">
        <v>1244683</v>
      </c>
      <c r="K56" s="28">
        <v>1397538</v>
      </c>
      <c r="L56" s="28">
        <v>4092313</v>
      </c>
      <c r="M56" s="28">
        <v>1181868</v>
      </c>
      <c r="N56" s="28">
        <v>49520</v>
      </c>
      <c r="O56" s="28">
        <v>1455189</v>
      </c>
      <c r="P56" s="28">
        <v>3751321</v>
      </c>
      <c r="Q56" s="28">
        <v>421051</v>
      </c>
      <c r="R56" s="28">
        <v>1946237</v>
      </c>
      <c r="S56" s="28">
        <v>422032</v>
      </c>
      <c r="T56" s="28">
        <v>2864110</v>
      </c>
      <c r="U56" s="28">
        <v>578987</v>
      </c>
      <c r="V56" s="28">
        <v>1081462</v>
      </c>
      <c r="W56" s="28">
        <v>-68402</v>
      </c>
      <c r="X56" s="28">
        <v>2969611</v>
      </c>
      <c r="Y56" s="28">
        <v>-506053</v>
      </c>
      <c r="Z56" s="28">
        <v>2114774</v>
      </c>
    </row>
    <row r="57" spans="2:26" x14ac:dyDescent="0.25">
      <c r="B57" s="42" t="s">
        <v>428</v>
      </c>
      <c r="C57" s="201"/>
      <c r="D57" s="201"/>
      <c r="G57" s="201">
        <v>0</v>
      </c>
      <c r="H57" s="203" t="s">
        <v>556</v>
      </c>
      <c r="I57" s="201">
        <v>0</v>
      </c>
      <c r="J57" s="201">
        <v>0</v>
      </c>
      <c r="K57" s="28">
        <v>0</v>
      </c>
      <c r="L57" s="28">
        <v>0</v>
      </c>
      <c r="M57" s="28">
        <v>0</v>
      </c>
      <c r="N57" s="28">
        <v>0</v>
      </c>
      <c r="O57" s="28">
        <v>0</v>
      </c>
      <c r="P57" s="28">
        <v>0</v>
      </c>
      <c r="Q57" s="28">
        <v>0</v>
      </c>
      <c r="R57" s="28">
        <v>0</v>
      </c>
      <c r="S57" s="28">
        <v>0</v>
      </c>
      <c r="T57" s="28">
        <v>0</v>
      </c>
      <c r="U57" s="28">
        <v>0</v>
      </c>
      <c r="V57" s="28">
        <v>0</v>
      </c>
      <c r="W57" s="28">
        <v>0</v>
      </c>
      <c r="X57" s="28">
        <v>224067</v>
      </c>
      <c r="Y57" s="28">
        <v>224067</v>
      </c>
      <c r="Z57" s="28">
        <v>0</v>
      </c>
    </row>
    <row r="58" spans="2:26" x14ac:dyDescent="0.25">
      <c r="B58" s="199" t="s">
        <v>432</v>
      </c>
      <c r="C58" s="325">
        <v>1687993</v>
      </c>
      <c r="D58" s="325">
        <v>1244683</v>
      </c>
      <c r="G58" s="325">
        <f>G56</f>
        <v>1152388</v>
      </c>
      <c r="H58" s="325">
        <v>5764273</v>
      </c>
      <c r="I58" s="325">
        <v>1236708</v>
      </c>
      <c r="J58" s="325">
        <v>1244683</v>
      </c>
      <c r="K58" s="58">
        <v>1397538</v>
      </c>
      <c r="L58" s="58">
        <v>4092313</v>
      </c>
      <c r="M58" s="58">
        <v>1181868</v>
      </c>
      <c r="N58" s="58">
        <v>49520</v>
      </c>
      <c r="O58" s="58">
        <v>1455189</v>
      </c>
      <c r="P58" s="58">
        <v>3751321</v>
      </c>
      <c r="Q58" s="58">
        <v>421051</v>
      </c>
      <c r="R58" s="58">
        <v>1946237</v>
      </c>
      <c r="S58" s="58">
        <v>422032</v>
      </c>
      <c r="T58" s="58">
        <v>2864110</v>
      </c>
      <c r="U58" s="58">
        <v>578987</v>
      </c>
      <c r="V58" s="58">
        <v>1081462</v>
      </c>
      <c r="W58" s="58">
        <v>-68402</v>
      </c>
      <c r="X58" s="58">
        <v>3193678</v>
      </c>
      <c r="Y58" s="58">
        <v>-281986</v>
      </c>
      <c r="Z58" s="58">
        <v>2114774</v>
      </c>
    </row>
    <row r="59" spans="2:26" x14ac:dyDescent="0.25">
      <c r="B59" s="199" t="s">
        <v>433</v>
      </c>
      <c r="C59" s="201"/>
      <c r="D59" s="201"/>
      <c r="G59" s="201"/>
      <c r="H59" s="203"/>
      <c r="I59" s="201"/>
      <c r="J59" s="201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</row>
    <row r="60" spans="2:26" x14ac:dyDescent="0.25">
      <c r="B60" s="42" t="s">
        <v>426</v>
      </c>
      <c r="C60" s="201">
        <v>593</v>
      </c>
      <c r="D60" s="201">
        <v>699</v>
      </c>
      <c r="G60" s="201">
        <v>503</v>
      </c>
      <c r="H60" s="201">
        <v>2562</v>
      </c>
      <c r="I60" s="201">
        <v>599</v>
      </c>
      <c r="J60" s="201">
        <v>699</v>
      </c>
      <c r="K60" s="28">
        <v>668</v>
      </c>
      <c r="L60" s="28">
        <v>2054</v>
      </c>
      <c r="M60" s="28">
        <v>485</v>
      </c>
      <c r="N60" s="28">
        <v>356</v>
      </c>
      <c r="O60" s="28">
        <v>382</v>
      </c>
      <c r="P60" s="28">
        <v>1548</v>
      </c>
      <c r="Q60" s="28">
        <v>426</v>
      </c>
      <c r="R60" s="28">
        <v>402</v>
      </c>
      <c r="S60" s="28">
        <v>319</v>
      </c>
      <c r="T60" s="28">
        <v>1011</v>
      </c>
      <c r="U60" s="28">
        <v>312</v>
      </c>
      <c r="V60" s="28">
        <v>188</v>
      </c>
      <c r="W60" s="28">
        <v>269</v>
      </c>
      <c r="X60" s="28">
        <v>675</v>
      </c>
      <c r="Y60" s="28">
        <v>152</v>
      </c>
      <c r="Z60" s="28">
        <v>212</v>
      </c>
    </row>
    <row r="61" spans="2:26" ht="19.5" thickBot="1" x14ac:dyDescent="0.3">
      <c r="B61" s="42"/>
      <c r="C61" s="332">
        <v>1688586</v>
      </c>
      <c r="D61" s="332">
        <v>1245382</v>
      </c>
      <c r="G61" s="332">
        <v>1152891</v>
      </c>
      <c r="H61" s="337">
        <v>5766835</v>
      </c>
      <c r="I61" s="332">
        <v>1237307</v>
      </c>
      <c r="J61" s="332">
        <v>1245382</v>
      </c>
      <c r="K61" s="327">
        <v>1398206</v>
      </c>
      <c r="L61" s="327">
        <v>4094367</v>
      </c>
      <c r="M61" s="327">
        <v>1182353</v>
      </c>
      <c r="N61" s="327">
        <v>49876</v>
      </c>
      <c r="O61" s="327">
        <v>1455571</v>
      </c>
      <c r="P61" s="327">
        <v>3752869</v>
      </c>
      <c r="Q61" s="327">
        <v>421477</v>
      </c>
      <c r="R61" s="327">
        <v>1946639</v>
      </c>
      <c r="S61" s="327">
        <v>422351</v>
      </c>
      <c r="T61" s="327">
        <v>2865121</v>
      </c>
      <c r="U61" s="327">
        <v>579299</v>
      </c>
      <c r="V61" s="327">
        <v>1081650</v>
      </c>
      <c r="W61" s="327">
        <v>-68133</v>
      </c>
      <c r="X61" s="327">
        <v>3194353</v>
      </c>
      <c r="Y61" s="327">
        <v>-281834</v>
      </c>
      <c r="Z61" s="327">
        <v>2114986</v>
      </c>
    </row>
    <row r="62" spans="2:26" ht="19.5" thickTop="1" x14ac:dyDescent="0.25">
      <c r="B62" s="199" t="s">
        <v>434</v>
      </c>
      <c r="C62" s="333">
        <v>0.59</v>
      </c>
      <c r="D62" s="333">
        <v>0.44</v>
      </c>
      <c r="G62" s="333">
        <v>0.52</v>
      </c>
      <c r="H62" s="333">
        <v>2.62</v>
      </c>
      <c r="I62" s="333">
        <v>0.56000000000000005</v>
      </c>
      <c r="J62" s="333">
        <v>0.56999999999999995</v>
      </c>
      <c r="K62" s="102">
        <v>0.64</v>
      </c>
      <c r="L62" s="102">
        <v>1.86</v>
      </c>
      <c r="M62" s="102">
        <v>0.54</v>
      </c>
      <c r="N62" s="102">
        <v>0.02</v>
      </c>
      <c r="O62" s="102">
        <v>0.66</v>
      </c>
      <c r="P62" s="102">
        <v>1.7</v>
      </c>
      <c r="Q62" s="102">
        <v>0.25</v>
      </c>
      <c r="R62" s="102">
        <v>1.1499999999999999</v>
      </c>
      <c r="S62" s="102">
        <v>0.19</v>
      </c>
      <c r="T62" s="102">
        <v>1.69</v>
      </c>
      <c r="U62" s="102">
        <v>0.34</v>
      </c>
      <c r="V62" s="102">
        <v>0.64</v>
      </c>
      <c r="W62" s="102">
        <v>-0.04</v>
      </c>
      <c r="X62" s="102">
        <v>2.1</v>
      </c>
      <c r="Y62" s="102">
        <v>-0.27</v>
      </c>
      <c r="Z62" s="102">
        <v>1.45</v>
      </c>
    </row>
    <row r="63" spans="2:26" x14ac:dyDescent="0.25">
      <c r="B63" s="199" t="s">
        <v>435</v>
      </c>
      <c r="C63" s="333">
        <v>0.59</v>
      </c>
      <c r="D63" s="333">
        <v>0.44</v>
      </c>
      <c r="G63" s="333">
        <v>0.52</v>
      </c>
      <c r="H63" s="333">
        <v>2.62</v>
      </c>
      <c r="I63" s="333">
        <v>0.56000000000000005</v>
      </c>
      <c r="J63" s="333">
        <v>0.56999999999999995</v>
      </c>
      <c r="K63" s="102">
        <v>0.64</v>
      </c>
      <c r="L63" s="102">
        <v>1.86</v>
      </c>
      <c r="M63" s="102">
        <v>0.54</v>
      </c>
      <c r="N63" s="102">
        <v>0.02</v>
      </c>
      <c r="O63" s="102">
        <v>0.66</v>
      </c>
      <c r="P63" s="102">
        <v>1.7</v>
      </c>
      <c r="Q63" s="102">
        <v>0.25</v>
      </c>
      <c r="R63" s="102">
        <v>1.1499999999999999</v>
      </c>
      <c r="S63" s="102">
        <v>0.19</v>
      </c>
      <c r="T63" s="102">
        <v>1.69</v>
      </c>
      <c r="U63" s="102">
        <v>0.34</v>
      </c>
      <c r="V63" s="102">
        <v>0.64</v>
      </c>
      <c r="W63" s="102">
        <v>-0.04</v>
      </c>
      <c r="X63" s="102">
        <v>2.1</v>
      </c>
      <c r="Y63" s="102">
        <v>-0.27</v>
      </c>
      <c r="Z63" s="102">
        <v>1.45</v>
      </c>
    </row>
    <row r="65" spans="2:26" x14ac:dyDescent="0.25">
      <c r="B65" s="112"/>
      <c r="C65" s="112"/>
      <c r="D65" s="112"/>
      <c r="H65" s="112"/>
      <c r="I65" s="112">
        <f t="shared" ref="I65:Z65" si="0">SUM(I16:I18)-I19</f>
        <v>0</v>
      </c>
      <c r="J65" s="112">
        <f t="shared" si="0"/>
        <v>0</v>
      </c>
      <c r="K65" s="112">
        <f t="shared" si="0"/>
        <v>0</v>
      </c>
      <c r="L65" s="340">
        <f t="shared" si="0"/>
        <v>0</v>
      </c>
      <c r="M65" s="340">
        <f t="shared" si="0"/>
        <v>0</v>
      </c>
      <c r="N65" s="340">
        <f t="shared" si="0"/>
        <v>0</v>
      </c>
      <c r="O65" s="340">
        <f t="shared" si="0"/>
        <v>0</v>
      </c>
      <c r="P65" s="340">
        <f t="shared" si="0"/>
        <v>0</v>
      </c>
      <c r="Q65" s="340">
        <f t="shared" si="0"/>
        <v>0</v>
      </c>
      <c r="R65" s="340">
        <f t="shared" si="0"/>
        <v>0</v>
      </c>
      <c r="S65" s="340">
        <f t="shared" si="0"/>
        <v>0</v>
      </c>
      <c r="T65" s="340">
        <f t="shared" si="0"/>
        <v>0</v>
      </c>
      <c r="U65" s="340">
        <f t="shared" si="0"/>
        <v>0</v>
      </c>
      <c r="V65" s="340">
        <f t="shared" si="0"/>
        <v>0</v>
      </c>
      <c r="W65" s="340">
        <f t="shared" si="0"/>
        <v>0</v>
      </c>
      <c r="X65" s="340">
        <f t="shared" si="0"/>
        <v>0</v>
      </c>
      <c r="Y65" s="340">
        <f t="shared" si="0"/>
        <v>0</v>
      </c>
      <c r="Z65" s="340">
        <f t="shared" si="0"/>
        <v>0</v>
      </c>
    </row>
    <row r="66" spans="2:26" x14ac:dyDescent="0.25">
      <c r="B66" s="112"/>
      <c r="C66" s="112"/>
      <c r="D66" s="112"/>
      <c r="H66" s="112"/>
      <c r="I66" s="112">
        <f t="shared" ref="I66:Z66" si="1">I13+I19-I21</f>
        <v>0</v>
      </c>
      <c r="J66" s="112">
        <f t="shared" si="1"/>
        <v>0</v>
      </c>
      <c r="K66" s="112">
        <f t="shared" si="1"/>
        <v>0</v>
      </c>
      <c r="L66" s="340">
        <f t="shared" si="1"/>
        <v>0</v>
      </c>
      <c r="M66" s="340">
        <f t="shared" si="1"/>
        <v>0</v>
      </c>
      <c r="N66" s="340">
        <f t="shared" si="1"/>
        <v>0</v>
      </c>
      <c r="O66" s="340">
        <f t="shared" si="1"/>
        <v>0</v>
      </c>
      <c r="P66" s="340">
        <f t="shared" si="1"/>
        <v>0</v>
      </c>
      <c r="Q66" s="340">
        <f t="shared" si="1"/>
        <v>0</v>
      </c>
      <c r="R66" s="340">
        <f t="shared" si="1"/>
        <v>0</v>
      </c>
      <c r="S66" s="340">
        <f t="shared" si="1"/>
        <v>0</v>
      </c>
      <c r="T66" s="340">
        <f t="shared" si="1"/>
        <v>0</v>
      </c>
      <c r="U66" s="340">
        <f t="shared" si="1"/>
        <v>0</v>
      </c>
      <c r="V66" s="340">
        <f t="shared" si="1"/>
        <v>0</v>
      </c>
      <c r="W66" s="340">
        <f t="shared" si="1"/>
        <v>0</v>
      </c>
      <c r="X66" s="340">
        <f t="shared" si="1"/>
        <v>0</v>
      </c>
      <c r="Y66" s="340">
        <f t="shared" si="1"/>
        <v>0</v>
      </c>
      <c r="Z66" s="340">
        <f t="shared" si="1"/>
        <v>0</v>
      </c>
    </row>
    <row r="67" spans="2:26" x14ac:dyDescent="0.25">
      <c r="B67" s="112" t="s">
        <v>596</v>
      </c>
      <c r="C67" s="112"/>
      <c r="D67" s="112"/>
      <c r="H67" s="112"/>
      <c r="I67" s="112">
        <f t="shared" ref="I67:Z67" si="2">SUM(I24:I26)-I27</f>
        <v>0</v>
      </c>
      <c r="J67" s="112">
        <f t="shared" si="2"/>
        <v>0</v>
      </c>
      <c r="K67" s="112">
        <f t="shared" si="2"/>
        <v>0</v>
      </c>
      <c r="L67" s="340">
        <f t="shared" si="2"/>
        <v>0</v>
      </c>
      <c r="M67" s="340">
        <f t="shared" si="2"/>
        <v>0</v>
      </c>
      <c r="N67" s="340">
        <f t="shared" si="2"/>
        <v>0</v>
      </c>
      <c r="O67" s="340">
        <f t="shared" si="2"/>
        <v>0</v>
      </c>
      <c r="P67" s="340">
        <f t="shared" si="2"/>
        <v>0</v>
      </c>
      <c r="Q67" s="340">
        <f t="shared" si="2"/>
        <v>0</v>
      </c>
      <c r="R67" s="340">
        <f t="shared" si="2"/>
        <v>0</v>
      </c>
      <c r="S67" s="340">
        <f t="shared" si="2"/>
        <v>0</v>
      </c>
      <c r="T67" s="340">
        <f t="shared" si="2"/>
        <v>0</v>
      </c>
      <c r="U67" s="340">
        <f t="shared" si="2"/>
        <v>0</v>
      </c>
      <c r="V67" s="340">
        <f t="shared" si="2"/>
        <v>0</v>
      </c>
      <c r="W67" s="340">
        <f t="shared" si="2"/>
        <v>0</v>
      </c>
      <c r="X67" s="340">
        <f t="shared" si="2"/>
        <v>0</v>
      </c>
      <c r="Y67" s="340">
        <f t="shared" si="2"/>
        <v>0</v>
      </c>
      <c r="Z67" s="340">
        <f t="shared" si="2"/>
        <v>0</v>
      </c>
    </row>
    <row r="68" spans="2:26" x14ac:dyDescent="0.25">
      <c r="B68" s="112"/>
      <c r="C68" s="112"/>
      <c r="D68" s="112"/>
      <c r="H68" s="112"/>
      <c r="I68" s="112">
        <f t="shared" ref="I68:Z68" si="3">I21+I27+SUM(I29:I37)-I38</f>
        <v>0</v>
      </c>
      <c r="J68" s="112">
        <f t="shared" si="3"/>
        <v>0</v>
      </c>
      <c r="K68" s="112">
        <f t="shared" si="3"/>
        <v>0</v>
      </c>
      <c r="L68" s="340">
        <f t="shared" si="3"/>
        <v>0</v>
      </c>
      <c r="M68" s="340">
        <f t="shared" si="3"/>
        <v>0</v>
      </c>
      <c r="N68" s="340">
        <f t="shared" si="3"/>
        <v>0</v>
      </c>
      <c r="O68" s="340">
        <f t="shared" si="3"/>
        <v>0</v>
      </c>
      <c r="P68" s="340">
        <f t="shared" si="3"/>
        <v>0</v>
      </c>
      <c r="Q68" s="340">
        <f t="shared" si="3"/>
        <v>0</v>
      </c>
      <c r="R68" s="340">
        <f t="shared" si="3"/>
        <v>0</v>
      </c>
      <c r="S68" s="340">
        <f t="shared" si="3"/>
        <v>0</v>
      </c>
      <c r="T68" s="340">
        <f t="shared" si="3"/>
        <v>0</v>
      </c>
      <c r="U68" s="340">
        <f t="shared" si="3"/>
        <v>0</v>
      </c>
      <c r="V68" s="340">
        <f t="shared" si="3"/>
        <v>0</v>
      </c>
      <c r="W68" s="340">
        <f t="shared" si="3"/>
        <v>0</v>
      </c>
      <c r="X68" s="340">
        <f t="shared" si="3"/>
        <v>0</v>
      </c>
      <c r="Y68" s="340">
        <f t="shared" si="3"/>
        <v>0</v>
      </c>
      <c r="Z68" s="340">
        <f t="shared" si="3"/>
        <v>0</v>
      </c>
    </row>
    <row r="69" spans="2:26" x14ac:dyDescent="0.25">
      <c r="B69" s="112"/>
      <c r="C69" s="112"/>
      <c r="D69" s="112"/>
      <c r="H69" s="112"/>
      <c r="I69" s="112">
        <f>SUM(I40:I41)-I42</f>
        <v>0</v>
      </c>
      <c r="J69" s="112">
        <f>SUM(J40:J41)-J42</f>
        <v>0</v>
      </c>
      <c r="K69" s="112">
        <f t="shared" ref="K69:Z69" si="4">SUM(K40:K41)-K42</f>
        <v>0</v>
      </c>
      <c r="L69" s="340">
        <f t="shared" si="4"/>
        <v>0</v>
      </c>
      <c r="M69" s="340">
        <f t="shared" si="4"/>
        <v>0</v>
      </c>
      <c r="N69" s="340">
        <f t="shared" si="4"/>
        <v>0</v>
      </c>
      <c r="O69" s="340">
        <f t="shared" si="4"/>
        <v>0</v>
      </c>
      <c r="P69" s="340">
        <f t="shared" si="4"/>
        <v>0</v>
      </c>
      <c r="Q69" s="340">
        <f t="shared" si="4"/>
        <v>0</v>
      </c>
      <c r="R69" s="340">
        <f t="shared" si="4"/>
        <v>0</v>
      </c>
      <c r="S69" s="340">
        <f t="shared" si="4"/>
        <v>0</v>
      </c>
      <c r="T69" s="340">
        <f t="shared" si="4"/>
        <v>0</v>
      </c>
      <c r="U69" s="340">
        <f t="shared" si="4"/>
        <v>0</v>
      </c>
      <c r="V69" s="340">
        <f t="shared" si="4"/>
        <v>0</v>
      </c>
      <c r="W69" s="340">
        <f t="shared" si="4"/>
        <v>0</v>
      </c>
      <c r="X69" s="340">
        <f t="shared" si="4"/>
        <v>0</v>
      </c>
      <c r="Y69" s="340">
        <f t="shared" si="4"/>
        <v>0</v>
      </c>
      <c r="Z69" s="340">
        <f t="shared" si="4"/>
        <v>0</v>
      </c>
    </row>
    <row r="70" spans="2:26" x14ac:dyDescent="0.25">
      <c r="B70" s="112"/>
      <c r="C70" s="112"/>
      <c r="D70" s="112"/>
      <c r="H70" s="112"/>
      <c r="I70" s="112">
        <f>I38+I42-I44</f>
        <v>0</v>
      </c>
      <c r="J70" s="112">
        <f>J38+J42-J44</f>
        <v>0</v>
      </c>
      <c r="K70" s="112">
        <f t="shared" ref="K70:Z70" si="5">K38+K42-K44</f>
        <v>0</v>
      </c>
      <c r="L70" s="340">
        <f t="shared" si="5"/>
        <v>0</v>
      </c>
      <c r="M70" s="340">
        <f t="shared" si="5"/>
        <v>0</v>
      </c>
      <c r="N70" s="340">
        <f t="shared" si="5"/>
        <v>0</v>
      </c>
      <c r="O70" s="340">
        <f t="shared" si="5"/>
        <v>0</v>
      </c>
      <c r="P70" s="340">
        <f t="shared" si="5"/>
        <v>0</v>
      </c>
      <c r="Q70" s="340">
        <f t="shared" si="5"/>
        <v>0</v>
      </c>
      <c r="R70" s="340">
        <f t="shared" si="5"/>
        <v>0</v>
      </c>
      <c r="S70" s="340">
        <f t="shared" si="5"/>
        <v>0</v>
      </c>
      <c r="T70" s="340">
        <f t="shared" si="5"/>
        <v>0</v>
      </c>
      <c r="U70" s="340">
        <f t="shared" si="5"/>
        <v>0</v>
      </c>
      <c r="V70" s="340">
        <f t="shared" si="5"/>
        <v>0</v>
      </c>
      <c r="W70" s="340">
        <f t="shared" si="5"/>
        <v>0</v>
      </c>
      <c r="X70" s="340">
        <f t="shared" si="5"/>
        <v>0</v>
      </c>
      <c r="Y70" s="340">
        <f t="shared" si="5"/>
        <v>0</v>
      </c>
      <c r="Z70" s="340">
        <f t="shared" si="5"/>
        <v>0</v>
      </c>
    </row>
    <row r="71" spans="2:26" x14ac:dyDescent="0.25">
      <c r="B71" s="112"/>
      <c r="C71" s="112"/>
      <c r="D71" s="112"/>
      <c r="H71" s="112"/>
      <c r="I71" s="112">
        <f>SUM(I44:I47)-I48</f>
        <v>0</v>
      </c>
      <c r="J71" s="112">
        <f>SUM(J44:J47)-J48</f>
        <v>0</v>
      </c>
      <c r="K71" s="112">
        <f t="shared" ref="K71:Z71" si="6">SUM(K44:K47)-K48</f>
        <v>0</v>
      </c>
      <c r="L71" s="340">
        <f t="shared" si="6"/>
        <v>0</v>
      </c>
      <c r="M71" s="340">
        <f t="shared" si="6"/>
        <v>0</v>
      </c>
      <c r="N71" s="340">
        <f t="shared" si="6"/>
        <v>0</v>
      </c>
      <c r="O71" s="340">
        <f t="shared" si="6"/>
        <v>0</v>
      </c>
      <c r="P71" s="340">
        <f t="shared" si="6"/>
        <v>0</v>
      </c>
      <c r="Q71" s="340">
        <f t="shared" si="6"/>
        <v>0</v>
      </c>
      <c r="R71" s="340">
        <f t="shared" si="6"/>
        <v>0</v>
      </c>
      <c r="S71" s="340">
        <f t="shared" si="6"/>
        <v>0</v>
      </c>
      <c r="T71" s="340">
        <f t="shared" si="6"/>
        <v>0</v>
      </c>
      <c r="U71" s="340">
        <f t="shared" si="6"/>
        <v>0</v>
      </c>
      <c r="V71" s="340">
        <f t="shared" si="6"/>
        <v>0</v>
      </c>
      <c r="W71" s="340">
        <f t="shared" si="6"/>
        <v>0</v>
      </c>
      <c r="X71" s="340">
        <f t="shared" si="6"/>
        <v>0</v>
      </c>
      <c r="Y71" s="340">
        <f t="shared" si="6"/>
        <v>0</v>
      </c>
      <c r="Z71" s="340">
        <f t="shared" si="6"/>
        <v>0</v>
      </c>
    </row>
    <row r="72" spans="2:26" x14ac:dyDescent="0.25">
      <c r="B72" s="112"/>
      <c r="C72" s="112"/>
      <c r="D72" s="112"/>
      <c r="H72" s="112"/>
      <c r="I72" s="112">
        <f>SUM(I48:I51)-I52</f>
        <v>0</v>
      </c>
      <c r="J72" s="112">
        <f>SUM(J48:J51)-J52</f>
        <v>0</v>
      </c>
      <c r="K72" s="112">
        <f t="shared" ref="K72:Z72" si="7">SUM(K48:K51)-K52</f>
        <v>0</v>
      </c>
      <c r="L72" s="340">
        <f t="shared" si="7"/>
        <v>0</v>
      </c>
      <c r="M72" s="340">
        <f t="shared" si="7"/>
        <v>0</v>
      </c>
      <c r="N72" s="340">
        <f t="shared" si="7"/>
        <v>0</v>
      </c>
      <c r="O72" s="340">
        <f t="shared" si="7"/>
        <v>0</v>
      </c>
      <c r="P72" s="340">
        <f t="shared" si="7"/>
        <v>0</v>
      </c>
      <c r="Q72" s="340">
        <f t="shared" si="7"/>
        <v>0</v>
      </c>
      <c r="R72" s="340">
        <f t="shared" si="7"/>
        <v>0</v>
      </c>
      <c r="S72" s="340">
        <f t="shared" si="7"/>
        <v>0</v>
      </c>
      <c r="T72" s="340">
        <f t="shared" si="7"/>
        <v>0</v>
      </c>
      <c r="U72" s="340">
        <f t="shared" si="7"/>
        <v>0</v>
      </c>
      <c r="V72" s="340">
        <f t="shared" si="7"/>
        <v>0</v>
      </c>
      <c r="W72" s="340">
        <f t="shared" si="7"/>
        <v>0</v>
      </c>
      <c r="X72" s="340">
        <f t="shared" si="7"/>
        <v>0</v>
      </c>
      <c r="Y72" s="340">
        <f t="shared" si="7"/>
        <v>0</v>
      </c>
      <c r="Z72" s="340">
        <f t="shared" si="7"/>
        <v>0</v>
      </c>
    </row>
    <row r="73" spans="2:26" x14ac:dyDescent="0.25">
      <c r="B73" s="112"/>
      <c r="C73" s="112"/>
      <c r="D73" s="112"/>
      <c r="H73" s="112"/>
      <c r="I73" s="112">
        <f>I56+I57-I58</f>
        <v>0</v>
      </c>
      <c r="J73" s="112">
        <f>J56+J57-J58</f>
        <v>0</v>
      </c>
      <c r="K73" s="112">
        <f t="shared" ref="K73:Z73" si="8">K56+K57-K58</f>
        <v>0</v>
      </c>
      <c r="L73" s="340">
        <f t="shared" si="8"/>
        <v>0</v>
      </c>
      <c r="M73" s="340">
        <f t="shared" si="8"/>
        <v>0</v>
      </c>
      <c r="N73" s="340">
        <f t="shared" si="8"/>
        <v>0</v>
      </c>
      <c r="O73" s="340">
        <f t="shared" si="8"/>
        <v>0</v>
      </c>
      <c r="P73" s="340">
        <f t="shared" si="8"/>
        <v>0</v>
      </c>
      <c r="Q73" s="340">
        <f t="shared" si="8"/>
        <v>0</v>
      </c>
      <c r="R73" s="340">
        <f t="shared" si="8"/>
        <v>0</v>
      </c>
      <c r="S73" s="340">
        <f t="shared" si="8"/>
        <v>0</v>
      </c>
      <c r="T73" s="340">
        <f t="shared" si="8"/>
        <v>0</v>
      </c>
      <c r="U73" s="340">
        <f t="shared" si="8"/>
        <v>0</v>
      </c>
      <c r="V73" s="340">
        <f t="shared" si="8"/>
        <v>0</v>
      </c>
      <c r="W73" s="340">
        <f t="shared" si="8"/>
        <v>0</v>
      </c>
      <c r="X73" s="340">
        <f t="shared" si="8"/>
        <v>0</v>
      </c>
      <c r="Y73" s="340">
        <f t="shared" si="8"/>
        <v>0</v>
      </c>
      <c r="Z73" s="340">
        <f t="shared" si="8"/>
        <v>0</v>
      </c>
    </row>
    <row r="74" spans="2:26" x14ac:dyDescent="0.25">
      <c r="B74" s="112"/>
      <c r="C74" s="112"/>
      <c r="D74" s="112"/>
      <c r="H74" s="112"/>
      <c r="I74" s="112">
        <f>I60+I58-I61</f>
        <v>0</v>
      </c>
      <c r="J74" s="112">
        <f>J60+J58-J61</f>
        <v>0</v>
      </c>
      <c r="K74" s="112">
        <f t="shared" ref="K74:Z74" si="9">K60+K58-K61</f>
        <v>0</v>
      </c>
      <c r="L74" s="340">
        <f t="shared" si="9"/>
        <v>0</v>
      </c>
      <c r="M74" s="340">
        <f t="shared" si="9"/>
        <v>0</v>
      </c>
      <c r="N74" s="340">
        <f t="shared" si="9"/>
        <v>0</v>
      </c>
      <c r="O74" s="340">
        <f t="shared" si="9"/>
        <v>0</v>
      </c>
      <c r="P74" s="340">
        <f t="shared" si="9"/>
        <v>0</v>
      </c>
      <c r="Q74" s="340">
        <f t="shared" si="9"/>
        <v>0</v>
      </c>
      <c r="R74" s="340">
        <f t="shared" si="9"/>
        <v>0</v>
      </c>
      <c r="S74" s="340">
        <f t="shared" si="9"/>
        <v>0</v>
      </c>
      <c r="T74" s="340">
        <f t="shared" si="9"/>
        <v>0</v>
      </c>
      <c r="U74" s="340">
        <f t="shared" si="9"/>
        <v>0</v>
      </c>
      <c r="V74" s="340">
        <f t="shared" si="9"/>
        <v>0</v>
      </c>
      <c r="W74" s="340">
        <f t="shared" si="9"/>
        <v>0</v>
      </c>
      <c r="X74" s="340">
        <f t="shared" si="9"/>
        <v>0</v>
      </c>
      <c r="Y74" s="340">
        <f t="shared" si="9"/>
        <v>0</v>
      </c>
      <c r="Z74" s="340">
        <f t="shared" si="9"/>
        <v>0</v>
      </c>
    </row>
    <row r="75" spans="2:26" x14ac:dyDescent="0.25">
      <c r="H75"/>
    </row>
    <row r="76" spans="2:26" x14ac:dyDescent="0.25">
      <c r="B76" s="112"/>
      <c r="C76" s="112"/>
      <c r="D76" s="112"/>
      <c r="H76" s="112"/>
      <c r="I76" s="112"/>
    </row>
    <row r="77" spans="2:26" x14ac:dyDescent="0.25">
      <c r="B77" s="112"/>
      <c r="C77" s="112"/>
      <c r="D77" s="112"/>
      <c r="H77" s="112"/>
      <c r="I77" s="112"/>
    </row>
    <row r="78" spans="2:26" x14ac:dyDescent="0.25">
      <c r="B78" s="54"/>
      <c r="C78" s="54"/>
      <c r="D78" s="54"/>
      <c r="H78" s="301"/>
      <c r="I78" s="302"/>
    </row>
    <row r="79" spans="2:26" x14ac:dyDescent="0.25">
      <c r="B79" s="54"/>
      <c r="C79" s="54"/>
      <c r="D79" s="54"/>
      <c r="H79" s="301"/>
      <c r="I79" s="302"/>
    </row>
    <row r="80" spans="2:26" x14ac:dyDescent="0.25">
      <c r="B80" s="54"/>
      <c r="C80" s="54"/>
      <c r="D80" s="54"/>
      <c r="H80" s="301"/>
      <c r="I80" s="302"/>
    </row>
    <row r="81" spans="2:9" x14ac:dyDescent="0.25">
      <c r="B81" s="54"/>
      <c r="C81" s="54"/>
      <c r="D81" s="54"/>
      <c r="H81" s="301"/>
      <c r="I81" s="302"/>
    </row>
    <row r="82" spans="2:9" x14ac:dyDescent="0.25">
      <c r="B82" s="54"/>
      <c r="C82" s="54"/>
      <c r="D82" s="54"/>
      <c r="H82" s="301"/>
      <c r="I82" s="302"/>
    </row>
    <row r="83" spans="2:9" x14ac:dyDescent="0.25">
      <c r="B83" s="54"/>
      <c r="C83" s="54"/>
      <c r="D83" s="54"/>
      <c r="H83" s="301"/>
      <c r="I83" s="302"/>
    </row>
    <row r="84" spans="2:9" x14ac:dyDescent="0.25">
      <c r="B84" s="54"/>
      <c r="C84" s="54"/>
      <c r="D84" s="54"/>
      <c r="H84" s="301"/>
      <c r="I84" s="302"/>
    </row>
    <row r="85" spans="2:9" x14ac:dyDescent="0.25">
      <c r="B85" s="54"/>
      <c r="C85" s="54"/>
      <c r="D85" s="54"/>
      <c r="H85" s="301"/>
      <c r="I85" s="54"/>
    </row>
    <row r="86" spans="2:9" x14ac:dyDescent="0.25">
      <c r="B86" s="54"/>
      <c r="C86" s="54"/>
      <c r="D86" s="54"/>
      <c r="H86" s="301"/>
      <c r="I86" s="54"/>
    </row>
    <row r="87" spans="2:9" x14ac:dyDescent="0.25">
      <c r="B87" s="54"/>
      <c r="C87" s="54"/>
      <c r="D87" s="54"/>
      <c r="H87" s="301"/>
      <c r="I87" s="54"/>
    </row>
    <row r="88" spans="2:9" x14ac:dyDescent="0.25">
      <c r="B88" s="54"/>
      <c r="C88" s="54"/>
      <c r="D88" s="54"/>
      <c r="H88" s="301"/>
      <c r="I88" s="54"/>
    </row>
    <row r="89" spans="2:9" x14ac:dyDescent="0.25">
      <c r="B89" s="54"/>
      <c r="C89" s="54"/>
      <c r="D89" s="54"/>
      <c r="H89" s="301"/>
      <c r="I89" s="54"/>
    </row>
    <row r="1048574" spans="8:8" x14ac:dyDescent="0.25">
      <c r="H1048574"/>
    </row>
    <row r="1048575" spans="8:8" x14ac:dyDescent="0.25">
      <c r="H1048575"/>
    </row>
    <row r="1048576" spans="8:8" x14ac:dyDescent="0.25">
      <c r="H1048576"/>
    </row>
  </sheetData>
  <mergeCells count="4">
    <mergeCell ref="B5:K7"/>
    <mergeCell ref="B11:B12"/>
    <mergeCell ref="C11:D11"/>
    <mergeCell ref="G11:Z11"/>
  </mergeCells>
  <conditionalFormatting sqref="E13:F13 I13:Z63 G13:G47 B13:D63 G49:G63 G48:H48">
    <cfRule type="expression" dxfId="5" priority="16">
      <formula>MOD(ROW(),2)=0</formula>
    </cfRule>
  </conditionalFormatting>
  <conditionalFormatting sqref="J65:Z74 B65:D74 B76:D77">
    <cfRule type="cellIs" dxfId="4" priority="7" operator="notEqual">
      <formula>0</formula>
    </cfRule>
  </conditionalFormatting>
  <conditionalFormatting sqref="H76:I77 H65:I74">
    <cfRule type="cellIs" dxfId="3" priority="3" operator="notEqual">
      <formula>0</formula>
    </cfRule>
  </conditionalFormatting>
  <conditionalFormatting sqref="H13:H47 H49:H63">
    <cfRule type="expression" dxfId="2" priority="2">
      <formula>MOD(ROW(),2)=0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Planilha20"/>
  <dimension ref="A4:AB120"/>
  <sheetViews>
    <sheetView showGridLines="0" showRowColHeaders="0" zoomScale="70" zoomScaleNormal="70" workbookViewId="0"/>
  </sheetViews>
  <sheetFormatPr defaultColWidth="8.7109375" defaultRowHeight="27" customHeight="1" x14ac:dyDescent="0.25"/>
  <cols>
    <col min="1" max="1" width="3.42578125" customWidth="1"/>
    <col min="2" max="2" width="96.140625" bestFit="1" customWidth="1"/>
    <col min="3" max="3" width="10.5703125" bestFit="1" customWidth="1"/>
    <col min="4" max="4" width="11.28515625" bestFit="1" customWidth="1"/>
    <col min="5" max="5" width="11.5703125" bestFit="1" customWidth="1"/>
    <col min="6" max="6" width="10.85546875" bestFit="1" customWidth="1"/>
    <col min="7" max="8" width="11.28515625" bestFit="1" customWidth="1"/>
    <col min="9" max="9" width="11.5703125" bestFit="1" customWidth="1"/>
    <col min="10" max="11" width="10.5703125" bestFit="1" customWidth="1"/>
    <col min="12" max="12" width="10.28515625" bestFit="1" customWidth="1"/>
    <col min="13" max="23" width="10.5703125" bestFit="1" customWidth="1"/>
    <col min="24" max="24" width="10.28515625" bestFit="1" customWidth="1"/>
  </cols>
  <sheetData>
    <row r="4" spans="2:28" ht="27" customHeight="1" x14ac:dyDescent="0.25">
      <c r="V4" s="23"/>
    </row>
    <row r="5" spans="2:28" ht="27" customHeight="1" x14ac:dyDescent="0.25">
      <c r="V5" s="23"/>
    </row>
    <row r="7" spans="2:28" ht="27" customHeight="1" x14ac:dyDescent="0.25">
      <c r="B7" s="382"/>
      <c r="C7" s="382"/>
      <c r="D7" s="382"/>
      <c r="E7" s="382"/>
      <c r="F7" s="383"/>
      <c r="G7" s="383"/>
      <c r="H7" s="383"/>
    </row>
    <row r="8" spans="2:28" ht="27" customHeight="1" x14ac:dyDescent="0.25">
      <c r="B8" s="17" t="s">
        <v>130</v>
      </c>
      <c r="C8" s="17"/>
      <c r="D8" s="17"/>
      <c r="E8" s="17"/>
      <c r="F8" s="2"/>
      <c r="G8" s="2"/>
      <c r="H8" s="2"/>
    </row>
    <row r="9" spans="2:28" ht="27" customHeight="1" x14ac:dyDescent="0.25">
      <c r="B9" s="269"/>
      <c r="C9" s="69" t="s">
        <v>562</v>
      </c>
      <c r="D9" s="319" t="s">
        <v>548</v>
      </c>
      <c r="E9" s="319">
        <v>2023</v>
      </c>
      <c r="F9" s="314" t="s">
        <v>308</v>
      </c>
      <c r="G9" s="69" t="s">
        <v>309</v>
      </c>
      <c r="H9" s="69" t="s">
        <v>135</v>
      </c>
      <c r="I9" s="69">
        <v>2022</v>
      </c>
      <c r="J9" s="319" t="s">
        <v>310</v>
      </c>
      <c r="K9" s="162" t="s">
        <v>311</v>
      </c>
      <c r="L9" s="69" t="s">
        <v>138</v>
      </c>
      <c r="M9" s="69">
        <v>2021</v>
      </c>
      <c r="N9" s="319" t="s">
        <v>312</v>
      </c>
      <c r="O9" s="162" t="s">
        <v>313</v>
      </c>
      <c r="P9" s="69" t="s">
        <v>141</v>
      </c>
      <c r="Q9" s="69">
        <v>2020</v>
      </c>
      <c r="R9" s="69" t="s">
        <v>314</v>
      </c>
      <c r="S9" s="69" t="s">
        <v>315</v>
      </c>
      <c r="T9" s="69" t="s">
        <v>316</v>
      </c>
      <c r="U9" s="69">
        <v>2019</v>
      </c>
      <c r="V9" s="319" t="s">
        <v>317</v>
      </c>
      <c r="W9" s="162" t="s">
        <v>318</v>
      </c>
      <c r="X9" s="69" t="s">
        <v>147</v>
      </c>
    </row>
    <row r="10" spans="2:28" ht="27" customHeight="1" x14ac:dyDescent="0.25">
      <c r="B10" s="27" t="s">
        <v>436</v>
      </c>
      <c r="C10" s="201"/>
      <c r="D10" s="201"/>
      <c r="E10" s="201"/>
      <c r="F10" s="201"/>
      <c r="G10" s="201"/>
      <c r="H10" s="201"/>
      <c r="I10" s="201"/>
      <c r="J10" s="201"/>
      <c r="K10" s="201"/>
      <c r="L10" s="201"/>
      <c r="M10" s="201"/>
      <c r="N10" s="201"/>
      <c r="O10" s="201"/>
      <c r="P10" s="201"/>
      <c r="Q10" s="201"/>
      <c r="R10" s="201"/>
      <c r="S10" s="201"/>
      <c r="T10" s="201"/>
      <c r="U10" s="201"/>
      <c r="V10" s="201"/>
      <c r="W10" s="201"/>
      <c r="X10" s="201"/>
    </row>
    <row r="11" spans="2:28" ht="27" customHeight="1" x14ac:dyDescent="0.25">
      <c r="B11" s="25" t="s">
        <v>525</v>
      </c>
      <c r="C11" s="201">
        <v>2841477</v>
      </c>
      <c r="D11" s="201">
        <v>1152891</v>
      </c>
      <c r="E11" s="201">
        <v>5766835</v>
      </c>
      <c r="F11" s="201">
        <v>3880895</v>
      </c>
      <c r="G11" s="201">
        <v>2643588</v>
      </c>
      <c r="H11" s="201">
        <v>1398206</v>
      </c>
      <c r="I11" s="201">
        <v>4094367</v>
      </c>
      <c r="J11" s="201">
        <v>2687800</v>
      </c>
      <c r="K11" s="201">
        <v>1505447</v>
      </c>
      <c r="L11" s="201">
        <v>1455571</v>
      </c>
      <c r="M11" s="201">
        <v>3752869</v>
      </c>
      <c r="N11" s="201">
        <v>2790467</v>
      </c>
      <c r="O11" s="201">
        <v>2368990</v>
      </c>
      <c r="P11" s="201">
        <v>422351</v>
      </c>
      <c r="Q11" s="201">
        <v>2865121</v>
      </c>
      <c r="R11" s="201">
        <v>1592816</v>
      </c>
      <c r="S11" s="201">
        <v>1013517</v>
      </c>
      <c r="T11" s="201">
        <v>-68133</v>
      </c>
      <c r="U11" s="201">
        <v>3194353</v>
      </c>
      <c r="V11" s="201">
        <v>2630391</v>
      </c>
      <c r="W11" s="201">
        <v>2912225</v>
      </c>
      <c r="X11" s="201">
        <v>797239</v>
      </c>
      <c r="AB11" s="23"/>
    </row>
    <row r="12" spans="2:28" ht="27" customHeight="1" x14ac:dyDescent="0.25">
      <c r="B12" s="27" t="s">
        <v>437</v>
      </c>
      <c r="C12" s="201"/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  <c r="T12" s="201"/>
      <c r="U12" s="201"/>
      <c r="V12" s="201"/>
      <c r="W12" s="201"/>
      <c r="X12" s="201"/>
      <c r="AB12" s="23"/>
    </row>
    <row r="13" spans="2:28" ht="27" customHeight="1" x14ac:dyDescent="0.25">
      <c r="B13" s="25" t="s">
        <v>526</v>
      </c>
      <c r="C13" s="201">
        <v>811152</v>
      </c>
      <c r="D13" s="201">
        <v>348815</v>
      </c>
      <c r="E13" s="201">
        <v>1084325</v>
      </c>
      <c r="F13" s="201">
        <v>223308</v>
      </c>
      <c r="G13" s="201">
        <v>162253</v>
      </c>
      <c r="H13" s="201">
        <v>355185</v>
      </c>
      <c r="I13" s="201">
        <v>26189</v>
      </c>
      <c r="J13" s="201">
        <v>-808520</v>
      </c>
      <c r="K13" s="201">
        <v>-734344</v>
      </c>
      <c r="L13" s="201">
        <v>-82418</v>
      </c>
      <c r="M13" s="201">
        <v>-210773</v>
      </c>
      <c r="N13" s="201">
        <v>-87096</v>
      </c>
      <c r="O13" s="201">
        <v>-65593</v>
      </c>
      <c r="P13" s="201">
        <v>-344379</v>
      </c>
      <c r="Q13" s="201">
        <v>252035</v>
      </c>
      <c r="R13" s="201">
        <v>-20034</v>
      </c>
      <c r="S13" s="201">
        <v>-1179</v>
      </c>
      <c r="T13" s="201">
        <v>-305760</v>
      </c>
      <c r="U13" s="201">
        <v>145459</v>
      </c>
      <c r="V13" s="201">
        <v>294119</v>
      </c>
      <c r="W13" s="201">
        <v>410326</v>
      </c>
      <c r="X13" s="201">
        <v>26767</v>
      </c>
    </row>
    <row r="14" spans="2:28" ht="27" customHeight="1" x14ac:dyDescent="0.25">
      <c r="B14" s="25" t="s">
        <v>210</v>
      </c>
      <c r="C14" s="201">
        <v>667452</v>
      </c>
      <c r="D14" s="201">
        <v>329059</v>
      </c>
      <c r="E14" s="201">
        <v>1274074</v>
      </c>
      <c r="F14" s="201">
        <v>922622</v>
      </c>
      <c r="G14" s="201">
        <v>607698</v>
      </c>
      <c r="H14" s="201">
        <v>302932</v>
      </c>
      <c r="I14" s="201">
        <v>1182084</v>
      </c>
      <c r="J14" s="201">
        <v>869536</v>
      </c>
      <c r="K14" s="201">
        <v>571929</v>
      </c>
      <c r="L14" s="201">
        <v>283909</v>
      </c>
      <c r="M14" s="201">
        <v>1049108</v>
      </c>
      <c r="N14" s="201">
        <v>763482</v>
      </c>
      <c r="O14" s="201">
        <v>480164</v>
      </c>
      <c r="P14" s="201">
        <v>238431</v>
      </c>
      <c r="Q14" s="201">
        <v>989053</v>
      </c>
      <c r="R14" s="201">
        <v>733538</v>
      </c>
      <c r="S14" s="201">
        <v>488449</v>
      </c>
      <c r="T14" s="201">
        <v>242752</v>
      </c>
      <c r="U14" s="201">
        <v>958234</v>
      </c>
      <c r="V14" s="201">
        <v>723322</v>
      </c>
      <c r="W14" s="201">
        <v>479299</v>
      </c>
      <c r="X14" s="201">
        <v>230896</v>
      </c>
      <c r="AB14" s="23"/>
    </row>
    <row r="15" spans="2:28" ht="27" customHeight="1" x14ac:dyDescent="0.25">
      <c r="B15" s="25" t="s">
        <v>438</v>
      </c>
      <c r="C15" s="201">
        <v>42869</v>
      </c>
      <c r="D15" s="201">
        <v>18515</v>
      </c>
      <c r="E15" s="201">
        <v>97459</v>
      </c>
      <c r="F15" s="201">
        <v>53787</v>
      </c>
      <c r="G15" s="201">
        <v>94132</v>
      </c>
      <c r="H15" s="201">
        <v>62032</v>
      </c>
      <c r="I15" s="201">
        <v>73626</v>
      </c>
      <c r="J15" s="201">
        <v>197273</v>
      </c>
      <c r="K15" s="201">
        <v>192687</v>
      </c>
      <c r="L15" s="201">
        <v>7944</v>
      </c>
      <c r="M15" s="201">
        <v>46960</v>
      </c>
      <c r="N15" s="201">
        <v>32088</v>
      </c>
      <c r="O15" s="201">
        <v>19615</v>
      </c>
      <c r="P15" s="201">
        <v>14444</v>
      </c>
      <c r="Q15" s="201">
        <v>39039</v>
      </c>
      <c r="R15" s="201">
        <v>23450</v>
      </c>
      <c r="S15" s="201">
        <v>16819</v>
      </c>
      <c r="T15" s="201">
        <v>7153</v>
      </c>
      <c r="U15" s="201">
        <v>124047</v>
      </c>
      <c r="V15" s="201">
        <v>22402</v>
      </c>
      <c r="W15" s="201">
        <v>8638</v>
      </c>
      <c r="X15" s="201">
        <v>5657</v>
      </c>
    </row>
    <row r="16" spans="2:28" ht="27" customHeight="1" x14ac:dyDescent="0.25">
      <c r="B16" s="25" t="s">
        <v>561</v>
      </c>
      <c r="C16" s="201">
        <v>-42989</v>
      </c>
      <c r="D16" s="201">
        <v>-42989</v>
      </c>
      <c r="E16" s="201">
        <v>-30487</v>
      </c>
      <c r="F16" s="201">
        <v>-30487</v>
      </c>
      <c r="G16" s="201">
        <v>-30487</v>
      </c>
      <c r="H16" s="201">
        <v>-30487</v>
      </c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  <c r="T16" s="201"/>
      <c r="U16" s="201"/>
      <c r="V16" s="201"/>
      <c r="W16" s="201"/>
      <c r="X16" s="201"/>
    </row>
    <row r="17" spans="1:24" ht="27" customHeight="1" x14ac:dyDescent="0.25">
      <c r="B17" s="25" t="s">
        <v>439</v>
      </c>
      <c r="C17" s="201">
        <v>0</v>
      </c>
      <c r="D17" s="201">
        <v>0</v>
      </c>
      <c r="E17" s="201" t="s">
        <v>5</v>
      </c>
      <c r="F17" s="201" t="s">
        <v>5</v>
      </c>
      <c r="G17" s="201" t="s">
        <v>5</v>
      </c>
      <c r="H17" s="201">
        <v>0</v>
      </c>
      <c r="I17" s="201">
        <v>171770</v>
      </c>
      <c r="J17" s="201" t="s">
        <v>5</v>
      </c>
      <c r="K17" s="201" t="s">
        <v>5</v>
      </c>
      <c r="L17" s="201" t="s">
        <v>5</v>
      </c>
      <c r="M17" s="201" t="s">
        <v>5</v>
      </c>
      <c r="N17" s="201" t="s">
        <v>5</v>
      </c>
      <c r="O17" s="201" t="s">
        <v>5</v>
      </c>
      <c r="P17" s="201" t="s">
        <v>5</v>
      </c>
      <c r="Q17" s="201" t="s">
        <v>5</v>
      </c>
      <c r="R17" s="201" t="s">
        <v>5</v>
      </c>
      <c r="S17" s="201" t="s">
        <v>5</v>
      </c>
      <c r="T17" s="201" t="s">
        <v>5</v>
      </c>
      <c r="U17" s="201" t="s">
        <v>5</v>
      </c>
      <c r="V17" s="201" t="s">
        <v>5</v>
      </c>
      <c r="W17" s="201" t="s">
        <v>5</v>
      </c>
      <c r="X17" s="201" t="s">
        <v>5</v>
      </c>
    </row>
    <row r="18" spans="1:24" ht="27" customHeight="1" x14ac:dyDescent="0.25">
      <c r="B18" s="25" t="s">
        <v>441</v>
      </c>
      <c r="C18" s="201" t="s">
        <v>5</v>
      </c>
      <c r="D18" s="201" t="s">
        <v>5</v>
      </c>
      <c r="E18" s="201">
        <v>-7500</v>
      </c>
      <c r="F18" s="201">
        <v>-15582</v>
      </c>
      <c r="G18" s="201">
        <v>-15582</v>
      </c>
      <c r="H18" s="201">
        <v>-15583</v>
      </c>
      <c r="I18" s="201">
        <v>595</v>
      </c>
      <c r="J18" s="201">
        <v>0</v>
      </c>
      <c r="K18" s="201">
        <v>0</v>
      </c>
      <c r="L18" s="201">
        <v>0</v>
      </c>
      <c r="M18" s="201">
        <v>10937</v>
      </c>
      <c r="N18" s="201">
        <v>0</v>
      </c>
      <c r="O18" s="201">
        <v>0</v>
      </c>
      <c r="P18" s="201">
        <v>0</v>
      </c>
      <c r="Q18" s="201">
        <v>0</v>
      </c>
      <c r="R18" s="201">
        <v>0</v>
      </c>
      <c r="S18" s="201">
        <v>0</v>
      </c>
      <c r="T18" s="201">
        <v>0</v>
      </c>
      <c r="U18" s="201">
        <v>0</v>
      </c>
      <c r="V18" s="201">
        <v>0</v>
      </c>
      <c r="W18" s="201">
        <v>0</v>
      </c>
      <c r="X18" s="201">
        <v>0</v>
      </c>
    </row>
    <row r="19" spans="1:24" ht="27" customHeight="1" x14ac:dyDescent="0.25">
      <c r="B19" s="25" t="s">
        <v>414</v>
      </c>
      <c r="C19" s="201">
        <v>0</v>
      </c>
      <c r="D19" s="201">
        <v>0</v>
      </c>
      <c r="E19" s="201" t="s">
        <v>5</v>
      </c>
      <c r="F19" s="201" t="s">
        <v>5</v>
      </c>
      <c r="G19" s="201" t="s">
        <v>5</v>
      </c>
      <c r="H19" s="201">
        <v>0</v>
      </c>
      <c r="I19" s="201">
        <v>-5340</v>
      </c>
      <c r="J19" s="201" t="s">
        <v>5</v>
      </c>
      <c r="K19" s="201" t="s">
        <v>5</v>
      </c>
      <c r="L19" s="201" t="s">
        <v>5</v>
      </c>
      <c r="M19" s="201">
        <v>-4006</v>
      </c>
      <c r="N19" s="201" t="s">
        <v>5</v>
      </c>
      <c r="O19" s="201" t="s">
        <v>5</v>
      </c>
      <c r="P19" s="201" t="s">
        <v>5</v>
      </c>
      <c r="Q19" s="201">
        <v>-51736</v>
      </c>
      <c r="R19" s="201">
        <v>-51736</v>
      </c>
      <c r="S19" s="201">
        <v>-51736</v>
      </c>
      <c r="T19" s="201">
        <v>-51736</v>
      </c>
      <c r="U19" s="201" t="s">
        <v>5</v>
      </c>
      <c r="V19" s="201" t="s">
        <v>5</v>
      </c>
      <c r="W19" s="201" t="s">
        <v>5</v>
      </c>
      <c r="X19" s="201" t="s">
        <v>5</v>
      </c>
    </row>
    <row r="20" spans="1:24" ht="27" customHeight="1" x14ac:dyDescent="0.25">
      <c r="B20" s="25" t="s">
        <v>442</v>
      </c>
      <c r="C20" s="201">
        <v>0</v>
      </c>
      <c r="D20" s="201">
        <v>0</v>
      </c>
      <c r="E20" s="201">
        <v>0</v>
      </c>
      <c r="F20" s="201">
        <v>0</v>
      </c>
      <c r="G20" s="201">
        <v>0</v>
      </c>
      <c r="H20" s="201">
        <v>0</v>
      </c>
      <c r="I20" s="201">
        <v>46763</v>
      </c>
      <c r="J20" s="201">
        <v>0</v>
      </c>
      <c r="K20" s="201">
        <v>0</v>
      </c>
      <c r="L20" s="201">
        <v>0</v>
      </c>
      <c r="M20" s="201">
        <v>491037</v>
      </c>
      <c r="N20" s="201">
        <v>491036</v>
      </c>
      <c r="O20" s="201">
        <v>0</v>
      </c>
      <c r="P20" s="201">
        <v>0</v>
      </c>
      <c r="Q20" s="201">
        <v>0</v>
      </c>
      <c r="R20" s="201">
        <v>0</v>
      </c>
      <c r="S20" s="201">
        <v>0</v>
      </c>
      <c r="T20" s="201">
        <v>0</v>
      </c>
      <c r="U20" s="201">
        <v>0</v>
      </c>
      <c r="V20" s="201">
        <v>0</v>
      </c>
      <c r="W20" s="201">
        <v>0</v>
      </c>
      <c r="X20" s="201">
        <v>0</v>
      </c>
    </row>
    <row r="21" spans="1:24" ht="27" customHeight="1" x14ac:dyDescent="0.25">
      <c r="B21" s="25" t="s">
        <v>418</v>
      </c>
      <c r="C21" s="201">
        <v>-129212</v>
      </c>
      <c r="D21" s="201">
        <v>-90501</v>
      </c>
      <c r="E21" s="201">
        <v>-432493</v>
      </c>
      <c r="F21" s="201">
        <v>-293238</v>
      </c>
      <c r="G21" s="201">
        <v>-222322</v>
      </c>
      <c r="H21" s="201">
        <v>-153041</v>
      </c>
      <c r="I21" s="201">
        <v>-842543</v>
      </c>
      <c r="J21" s="201">
        <v>-768440</v>
      </c>
      <c r="K21" s="201">
        <v>-520896</v>
      </c>
      <c r="L21" s="201">
        <v>-184428</v>
      </c>
      <c r="M21" s="201">
        <v>-182076</v>
      </c>
      <c r="N21" s="201">
        <v>-438798</v>
      </c>
      <c r="O21" s="201">
        <v>-151479</v>
      </c>
      <c r="P21" s="201">
        <v>-118687</v>
      </c>
      <c r="Q21" s="201">
        <v>-356698</v>
      </c>
      <c r="R21" s="201">
        <v>-262298</v>
      </c>
      <c r="S21" s="201">
        <v>-164476</v>
      </c>
      <c r="T21" s="201">
        <v>-81942</v>
      </c>
      <c r="U21" s="201">
        <v>-125351</v>
      </c>
      <c r="V21" s="201">
        <v>-161280</v>
      </c>
      <c r="W21" s="201">
        <v>-103500</v>
      </c>
      <c r="X21" s="201">
        <v>-67226</v>
      </c>
    </row>
    <row r="22" spans="1:24" ht="27" customHeight="1" x14ac:dyDescent="0.25">
      <c r="B22" s="25" t="s">
        <v>444</v>
      </c>
      <c r="C22" s="201">
        <v>-684709</v>
      </c>
      <c r="D22" s="201">
        <v>-368243</v>
      </c>
      <c r="E22" s="201">
        <v>-1246341</v>
      </c>
      <c r="F22" s="201">
        <v>-956879</v>
      </c>
      <c r="G22" s="201">
        <v>-671817</v>
      </c>
      <c r="H22" s="201">
        <v>-377909</v>
      </c>
      <c r="I22" s="201">
        <v>-1245142</v>
      </c>
      <c r="J22" s="201">
        <v>-924340</v>
      </c>
      <c r="K22" s="201">
        <v>-771515</v>
      </c>
      <c r="L22" s="201">
        <v>-360971</v>
      </c>
      <c r="M22" s="201">
        <v>-1305900</v>
      </c>
      <c r="N22" s="201">
        <v>-905323</v>
      </c>
      <c r="O22" s="201">
        <v>-575561</v>
      </c>
      <c r="P22" s="201">
        <v>-296107</v>
      </c>
      <c r="Q22" s="201">
        <v>-800968</v>
      </c>
      <c r="R22" s="201">
        <v>-520248</v>
      </c>
      <c r="S22" s="201">
        <v>-290728</v>
      </c>
      <c r="T22" s="201">
        <v>-188310</v>
      </c>
      <c r="U22" s="201">
        <v>-755469</v>
      </c>
      <c r="V22" s="201">
        <v>-387298</v>
      </c>
      <c r="W22" s="201">
        <v>-283372</v>
      </c>
      <c r="X22" s="201">
        <v>-124923</v>
      </c>
    </row>
    <row r="23" spans="1:24" ht="27" customHeight="1" x14ac:dyDescent="0.25">
      <c r="B23" s="25" t="s">
        <v>446</v>
      </c>
      <c r="C23" s="201">
        <v>417964</v>
      </c>
      <c r="D23" s="201">
        <v>212293</v>
      </c>
      <c r="E23" s="201">
        <v>675605</v>
      </c>
      <c r="F23" s="201">
        <v>742927</v>
      </c>
      <c r="G23" s="201">
        <v>446995</v>
      </c>
      <c r="H23" s="201">
        <v>158560</v>
      </c>
      <c r="I23" s="201">
        <v>493096</v>
      </c>
      <c r="J23" s="201">
        <v>2059745</v>
      </c>
      <c r="K23" s="201">
        <v>823750</v>
      </c>
      <c r="L23" s="201">
        <v>226861</v>
      </c>
      <c r="M23" s="201">
        <v>1381422</v>
      </c>
      <c r="N23" s="201">
        <v>1053980</v>
      </c>
      <c r="O23" s="201">
        <v>706941</v>
      </c>
      <c r="P23" s="201">
        <v>419438</v>
      </c>
      <c r="Q23" s="201">
        <v>1202087</v>
      </c>
      <c r="R23" s="201">
        <v>835735</v>
      </c>
      <c r="S23" s="201">
        <v>516348</v>
      </c>
      <c r="T23" s="201">
        <v>341147</v>
      </c>
      <c r="U23" s="201">
        <v>1189777</v>
      </c>
      <c r="V23" s="201">
        <v>881320</v>
      </c>
      <c r="W23" s="201">
        <v>590478</v>
      </c>
      <c r="X23" s="201">
        <v>301487</v>
      </c>
    </row>
    <row r="24" spans="1:24" ht="27" customHeight="1" x14ac:dyDescent="0.25">
      <c r="B24" s="25" t="s">
        <v>447</v>
      </c>
      <c r="C24" s="201">
        <v>273485</v>
      </c>
      <c r="D24" s="201">
        <v>59034</v>
      </c>
      <c r="E24" s="201">
        <v>-276687</v>
      </c>
      <c r="F24" s="201">
        <v>-158859</v>
      </c>
      <c r="G24" s="201">
        <v>-301310</v>
      </c>
      <c r="H24" s="201">
        <v>-103814</v>
      </c>
      <c r="I24" s="201">
        <v>-338265</v>
      </c>
      <c r="J24" s="201">
        <v>-173900</v>
      </c>
      <c r="K24" s="201">
        <v>-342500</v>
      </c>
      <c r="L24" s="201">
        <v>-842700</v>
      </c>
      <c r="M24" s="201">
        <v>353321</v>
      </c>
      <c r="N24" s="201">
        <v>212221</v>
      </c>
      <c r="O24" s="201">
        <v>-292379</v>
      </c>
      <c r="P24" s="201">
        <v>751781</v>
      </c>
      <c r="Q24" s="201">
        <v>1742494</v>
      </c>
      <c r="R24" s="201">
        <v>2409658</v>
      </c>
      <c r="S24" s="201">
        <v>2162364</v>
      </c>
      <c r="T24" s="201">
        <v>1756536</v>
      </c>
      <c r="U24" s="201">
        <v>225992</v>
      </c>
      <c r="V24" s="201">
        <v>429299</v>
      </c>
      <c r="W24" s="201">
        <v>-70470</v>
      </c>
      <c r="X24" s="201">
        <v>32980</v>
      </c>
    </row>
    <row r="25" spans="1:24" ht="27" customHeight="1" x14ac:dyDescent="0.25">
      <c r="B25" s="25" t="s">
        <v>449</v>
      </c>
      <c r="C25" s="201">
        <v>-512852</v>
      </c>
      <c r="D25" s="201">
        <v>-322666</v>
      </c>
      <c r="E25" s="201">
        <v>-1908658</v>
      </c>
      <c r="F25" s="201">
        <v>-1569255</v>
      </c>
      <c r="G25" s="201">
        <v>-1257507</v>
      </c>
      <c r="H25" s="201">
        <v>-695989</v>
      </c>
      <c r="I25" s="201">
        <v>-2360056</v>
      </c>
      <c r="J25" s="201">
        <v>-1641578</v>
      </c>
      <c r="K25" s="201">
        <v>-935491</v>
      </c>
      <c r="L25" s="201">
        <v>-436718</v>
      </c>
      <c r="M25" s="201">
        <v>-1316995</v>
      </c>
      <c r="N25" s="201">
        <v>-876000</v>
      </c>
      <c r="O25" s="201">
        <v>-430911</v>
      </c>
      <c r="P25" s="201">
        <v>-178373</v>
      </c>
      <c r="Q25" s="201">
        <v>-266320</v>
      </c>
      <c r="R25" s="201">
        <v>-83346</v>
      </c>
      <c r="S25" s="201">
        <v>0</v>
      </c>
      <c r="T25" s="201">
        <v>0</v>
      </c>
      <c r="U25" s="201">
        <v>0</v>
      </c>
      <c r="V25" s="201">
        <v>0</v>
      </c>
      <c r="W25" s="201">
        <v>0</v>
      </c>
      <c r="X25" s="201">
        <v>0</v>
      </c>
    </row>
    <row r="26" spans="1:24" ht="27" customHeight="1" x14ac:dyDescent="0.25">
      <c r="B26" s="25" t="s">
        <v>566</v>
      </c>
      <c r="C26" s="201">
        <v>-410626</v>
      </c>
      <c r="D26" s="201"/>
      <c r="E26" s="201"/>
      <c r="F26" s="201"/>
      <c r="G26" s="201"/>
      <c r="H26" s="201"/>
      <c r="I26" s="201"/>
      <c r="J26" s="201"/>
      <c r="K26" s="201"/>
      <c r="L26" s="201"/>
      <c r="M26" s="201"/>
      <c r="N26" s="201"/>
      <c r="O26" s="201"/>
      <c r="P26" s="201"/>
      <c r="Q26" s="201"/>
      <c r="R26" s="201"/>
      <c r="S26" s="201"/>
      <c r="T26" s="201"/>
      <c r="U26" s="201"/>
      <c r="V26" s="201"/>
      <c r="W26" s="201"/>
      <c r="X26" s="201"/>
    </row>
    <row r="27" spans="1:24" s="96" customFormat="1" ht="27" customHeight="1" x14ac:dyDescent="0.25">
      <c r="A27"/>
      <c r="B27" s="25" t="s">
        <v>215</v>
      </c>
      <c r="C27" s="201" t="s">
        <v>5</v>
      </c>
      <c r="D27" s="201" t="s">
        <v>5</v>
      </c>
      <c r="E27" s="201">
        <f>-318795-E16</f>
        <v>-288308</v>
      </c>
      <c r="F27" s="201">
        <v>0</v>
      </c>
      <c r="G27" s="201">
        <v>0</v>
      </c>
      <c r="H27" s="201">
        <v>0</v>
      </c>
      <c r="I27" s="201">
        <v>-51512</v>
      </c>
      <c r="J27" s="201"/>
      <c r="K27" s="201"/>
      <c r="L27" s="201" t="s">
        <v>5</v>
      </c>
      <c r="M27" s="201"/>
      <c r="N27" s="201"/>
      <c r="O27" s="201"/>
      <c r="P27" s="201"/>
      <c r="Q27" s="201"/>
      <c r="R27" s="201"/>
      <c r="S27" s="201">
        <v>0</v>
      </c>
      <c r="T27" s="201">
        <v>0</v>
      </c>
      <c r="U27" s="201">
        <v>0</v>
      </c>
      <c r="V27" s="201">
        <v>0</v>
      </c>
      <c r="W27" s="201">
        <v>0</v>
      </c>
      <c r="X27" s="201">
        <v>0</v>
      </c>
    </row>
    <row r="28" spans="1:24" ht="27" customHeight="1" x14ac:dyDescent="0.25">
      <c r="B28" s="25" t="s">
        <v>450</v>
      </c>
      <c r="C28" s="201">
        <v>8392</v>
      </c>
      <c r="D28" s="201">
        <v>3789</v>
      </c>
      <c r="E28" s="201">
        <v>13908</v>
      </c>
      <c r="F28" s="201">
        <v>9655</v>
      </c>
      <c r="G28" s="201">
        <v>6198</v>
      </c>
      <c r="H28" s="201">
        <v>3542</v>
      </c>
      <c r="I28" s="201">
        <v>7422</v>
      </c>
      <c r="J28" s="201">
        <v>5298</v>
      </c>
      <c r="K28" s="201">
        <v>3210</v>
      </c>
      <c r="L28" s="201">
        <v>1600</v>
      </c>
      <c r="M28" s="201">
        <v>20456</v>
      </c>
      <c r="N28" s="201">
        <v>18870</v>
      </c>
      <c r="O28" s="201">
        <v>12606</v>
      </c>
      <c r="P28" s="201">
        <v>4137</v>
      </c>
      <c r="Q28" s="201">
        <v>15107</v>
      </c>
      <c r="R28" s="201">
        <v>10910</v>
      </c>
      <c r="S28" s="201">
        <v>7101</v>
      </c>
      <c r="T28" s="201">
        <v>3545</v>
      </c>
      <c r="U28" s="201">
        <v>37616</v>
      </c>
      <c r="V28" s="201">
        <v>34102</v>
      </c>
      <c r="W28" s="201">
        <v>13948</v>
      </c>
      <c r="X28" s="201">
        <v>6933</v>
      </c>
    </row>
    <row r="29" spans="1:24" ht="27" customHeight="1" x14ac:dyDescent="0.25">
      <c r="B29" s="25" t="s">
        <v>212</v>
      </c>
      <c r="C29" s="201">
        <v>153153</v>
      </c>
      <c r="D29" s="201">
        <v>75853</v>
      </c>
      <c r="E29" s="201">
        <v>174663</v>
      </c>
      <c r="F29" s="201" t="s">
        <v>5</v>
      </c>
      <c r="G29" s="201" t="s">
        <v>5</v>
      </c>
      <c r="H29" s="201">
        <v>7926</v>
      </c>
      <c r="I29" s="201">
        <v>108731</v>
      </c>
      <c r="J29" s="201" t="s">
        <v>5</v>
      </c>
      <c r="K29" s="201" t="s">
        <v>5</v>
      </c>
      <c r="L29" s="201" t="s">
        <v>5</v>
      </c>
      <c r="M29" s="201" t="s">
        <v>5</v>
      </c>
      <c r="N29" s="201" t="s">
        <v>5</v>
      </c>
      <c r="O29" s="201" t="s">
        <v>5</v>
      </c>
      <c r="P29" s="201" t="s">
        <v>5</v>
      </c>
      <c r="Q29" s="201" t="s">
        <v>5</v>
      </c>
      <c r="R29" s="201" t="s">
        <v>5</v>
      </c>
      <c r="S29" s="201" t="s">
        <v>5</v>
      </c>
      <c r="T29" s="201" t="s">
        <v>5</v>
      </c>
      <c r="U29" s="201" t="s">
        <v>5</v>
      </c>
      <c r="V29" s="201" t="s">
        <v>5</v>
      </c>
      <c r="W29" s="201" t="s">
        <v>5</v>
      </c>
      <c r="X29" s="201" t="s">
        <v>5</v>
      </c>
    </row>
    <row r="30" spans="1:24" ht="27" customHeight="1" x14ac:dyDescent="0.25">
      <c r="B30" s="25" t="s">
        <v>452</v>
      </c>
      <c r="C30" s="201">
        <v>-112050</v>
      </c>
      <c r="D30" s="201">
        <v>-42032</v>
      </c>
      <c r="E30" s="201">
        <v>177326</v>
      </c>
      <c r="F30" s="201">
        <v>60307</v>
      </c>
      <c r="G30" s="201">
        <v>162735</v>
      </c>
      <c r="H30" s="201">
        <v>12725</v>
      </c>
      <c r="I30" s="201">
        <v>437887</v>
      </c>
      <c r="J30" s="201">
        <v>301940</v>
      </c>
      <c r="K30" s="201">
        <v>402027</v>
      </c>
      <c r="L30" s="201">
        <v>456647</v>
      </c>
      <c r="M30" s="201">
        <v>537976</v>
      </c>
      <c r="N30" s="201">
        <v>577129</v>
      </c>
      <c r="O30" s="201">
        <v>612765</v>
      </c>
      <c r="P30" s="201">
        <v>187348</v>
      </c>
      <c r="Q30" s="201">
        <v>-1752688</v>
      </c>
      <c r="R30" s="201">
        <v>-1803611</v>
      </c>
      <c r="S30" s="201">
        <v>-1800960</v>
      </c>
      <c r="T30" s="201">
        <v>-1314240</v>
      </c>
      <c r="U30" s="201">
        <v>-997858</v>
      </c>
      <c r="V30" s="201">
        <v>-1099230</v>
      </c>
      <c r="W30" s="201">
        <v>-613394</v>
      </c>
      <c r="X30" s="201">
        <v>-152311</v>
      </c>
    </row>
    <row r="31" spans="1:24" ht="27" customHeight="1" x14ac:dyDescent="0.25">
      <c r="B31" s="25" t="s">
        <v>453</v>
      </c>
      <c r="C31" s="201">
        <v>-19119</v>
      </c>
      <c r="D31" s="201">
        <v>-75674</v>
      </c>
      <c r="E31" s="201">
        <v>213038</v>
      </c>
      <c r="F31" s="201">
        <v>63572</v>
      </c>
      <c r="G31" s="201">
        <v>143809</v>
      </c>
      <c r="H31" s="201">
        <v>-20840</v>
      </c>
      <c r="I31" s="201">
        <v>1146560</v>
      </c>
      <c r="J31" s="201">
        <v>1367693</v>
      </c>
      <c r="K31" s="201">
        <v>972040</v>
      </c>
      <c r="L31" s="201">
        <v>700107</v>
      </c>
      <c r="M31" s="201">
        <v>-2146043</v>
      </c>
      <c r="N31" s="201">
        <v>-1908899</v>
      </c>
      <c r="O31" s="201">
        <v>-792651</v>
      </c>
      <c r="P31" s="201">
        <v>-338907</v>
      </c>
      <c r="Q31" s="201">
        <v>-454741</v>
      </c>
      <c r="R31" s="201">
        <v>-98844</v>
      </c>
      <c r="S31" s="201">
        <v>-81652</v>
      </c>
      <c r="T31" s="201">
        <v>54602</v>
      </c>
      <c r="U31" s="201">
        <v>-57988</v>
      </c>
      <c r="V31" s="201">
        <v>-45119</v>
      </c>
      <c r="W31" s="201">
        <v>-80241</v>
      </c>
      <c r="X31" s="201">
        <v>-120350</v>
      </c>
    </row>
    <row r="32" spans="1:24" ht="27" customHeight="1" x14ac:dyDescent="0.25">
      <c r="B32" s="25" t="s">
        <v>207</v>
      </c>
      <c r="C32" s="201">
        <v>243837</v>
      </c>
      <c r="D32" s="201">
        <v>144729</v>
      </c>
      <c r="E32" s="201">
        <v>610871</v>
      </c>
      <c r="F32" s="201">
        <v>446853</v>
      </c>
      <c r="G32" s="201">
        <v>275310</v>
      </c>
      <c r="H32" s="201">
        <v>111292</v>
      </c>
      <c r="I32" s="201">
        <v>665781</v>
      </c>
      <c r="J32" s="201">
        <v>502558</v>
      </c>
      <c r="K32" s="201">
        <v>335038</v>
      </c>
      <c r="L32" s="201">
        <v>167520</v>
      </c>
      <c r="M32" s="201">
        <v>84798</v>
      </c>
      <c r="N32" s="201">
        <v>375177</v>
      </c>
      <c r="O32" s="201">
        <v>250119</v>
      </c>
      <c r="P32" s="201">
        <v>125059</v>
      </c>
      <c r="Q32" s="201">
        <v>490953</v>
      </c>
      <c r="R32" s="201">
        <v>368216</v>
      </c>
      <c r="S32" s="201">
        <v>245476</v>
      </c>
      <c r="T32" s="201">
        <v>122738</v>
      </c>
      <c r="U32" s="201">
        <v>464554</v>
      </c>
      <c r="V32" s="201">
        <v>348415</v>
      </c>
      <c r="W32" s="201">
        <v>232277</v>
      </c>
      <c r="X32" s="201">
        <v>116138</v>
      </c>
    </row>
    <row r="33" spans="1:24" ht="27" customHeight="1" x14ac:dyDescent="0.25">
      <c r="B33" s="25" t="s">
        <v>440</v>
      </c>
      <c r="C33" s="201">
        <v>0</v>
      </c>
      <c r="D33" s="201">
        <v>0</v>
      </c>
      <c r="E33" s="201">
        <v>0</v>
      </c>
      <c r="F33" s="201">
        <v>0</v>
      </c>
      <c r="G33" s="201">
        <v>0</v>
      </c>
      <c r="H33" s="201">
        <v>0</v>
      </c>
      <c r="I33" s="201">
        <v>0</v>
      </c>
      <c r="J33" s="201">
        <v>-19197</v>
      </c>
      <c r="K33" s="201">
        <v>-7053</v>
      </c>
      <c r="L33" s="201">
        <v>0</v>
      </c>
      <c r="M33" s="201">
        <v>0</v>
      </c>
      <c r="N33" s="201">
        <v>-3722</v>
      </c>
      <c r="O33" s="201">
        <v>-3722</v>
      </c>
      <c r="P33" s="201">
        <v>0</v>
      </c>
      <c r="Q33" s="201">
        <v>-12254</v>
      </c>
      <c r="R33" s="201">
        <v>-7942</v>
      </c>
      <c r="S33" s="201">
        <v>-7942</v>
      </c>
      <c r="T33" s="201">
        <v>0</v>
      </c>
      <c r="U33" s="201">
        <v>24349</v>
      </c>
      <c r="V33" s="201">
        <v>-26016</v>
      </c>
      <c r="W33" s="201">
        <v>-26016</v>
      </c>
      <c r="X33" s="201">
        <v>0</v>
      </c>
    </row>
    <row r="34" spans="1:24" ht="27" customHeight="1" x14ac:dyDescent="0.25">
      <c r="B34" s="25" t="s">
        <v>412</v>
      </c>
      <c r="C34" s="201">
        <v>0</v>
      </c>
      <c r="D34" s="201">
        <v>0</v>
      </c>
      <c r="E34" s="201" t="s">
        <v>5</v>
      </c>
      <c r="F34" s="201" t="s">
        <v>5</v>
      </c>
      <c r="G34" s="201" t="s">
        <v>5</v>
      </c>
      <c r="H34" s="201">
        <v>0</v>
      </c>
      <c r="I34" s="201" t="s">
        <v>5</v>
      </c>
      <c r="J34" s="201" t="s">
        <v>5</v>
      </c>
      <c r="K34" s="201" t="s">
        <v>5</v>
      </c>
      <c r="L34" s="201" t="s">
        <v>5</v>
      </c>
      <c r="M34" s="201">
        <v>-1031809</v>
      </c>
      <c r="N34" s="201">
        <v>-1031809</v>
      </c>
      <c r="O34" s="201">
        <v>-909601</v>
      </c>
      <c r="P34" s="201" t="s">
        <v>5</v>
      </c>
      <c r="Q34" s="201" t="s">
        <v>5</v>
      </c>
      <c r="R34" s="201" t="s">
        <v>5</v>
      </c>
      <c r="S34" s="201" t="s">
        <v>5</v>
      </c>
      <c r="T34" s="201" t="s">
        <v>5</v>
      </c>
      <c r="U34" s="201" t="s">
        <v>5</v>
      </c>
      <c r="V34" s="201" t="s">
        <v>5</v>
      </c>
      <c r="W34" s="201" t="s">
        <v>5</v>
      </c>
      <c r="X34" s="201" t="s">
        <v>5</v>
      </c>
    </row>
    <row r="35" spans="1:24" ht="27" customHeight="1" x14ac:dyDescent="0.25">
      <c r="B35" s="25" t="s">
        <v>416</v>
      </c>
      <c r="C35" s="201">
        <v>0</v>
      </c>
      <c r="D35" s="201">
        <v>0</v>
      </c>
      <c r="E35" s="201" t="s">
        <v>5</v>
      </c>
      <c r="F35" s="201" t="s">
        <v>5</v>
      </c>
      <c r="G35" s="201" t="s">
        <v>5</v>
      </c>
      <c r="H35" s="201">
        <v>0</v>
      </c>
      <c r="I35" s="201" t="s">
        <v>5</v>
      </c>
      <c r="J35" s="201" t="s">
        <v>5</v>
      </c>
      <c r="K35" s="201" t="s">
        <v>5</v>
      </c>
      <c r="L35" s="201" t="s">
        <v>5</v>
      </c>
      <c r="M35" s="201" t="s">
        <v>5</v>
      </c>
      <c r="N35" s="201" t="s">
        <v>5</v>
      </c>
      <c r="O35" s="201" t="s">
        <v>5</v>
      </c>
      <c r="P35" s="201" t="s">
        <v>5</v>
      </c>
      <c r="Q35" s="201" t="s">
        <v>5</v>
      </c>
      <c r="R35" s="201">
        <v>270267</v>
      </c>
      <c r="S35" s="201">
        <v>134023</v>
      </c>
      <c r="T35" s="201">
        <v>609160</v>
      </c>
      <c r="U35" s="201" t="s">
        <v>5</v>
      </c>
      <c r="V35" s="201" t="s">
        <v>5</v>
      </c>
      <c r="W35" s="201" t="s">
        <v>5</v>
      </c>
      <c r="X35" s="201" t="s">
        <v>5</v>
      </c>
    </row>
    <row r="36" spans="1:24" ht="27" customHeight="1" x14ac:dyDescent="0.25">
      <c r="B36" s="25" t="s">
        <v>443</v>
      </c>
      <c r="C36" s="201">
        <v>0</v>
      </c>
      <c r="D36" s="201">
        <v>0</v>
      </c>
      <c r="E36" s="201" t="s">
        <v>5</v>
      </c>
      <c r="F36" s="201" t="s">
        <v>5</v>
      </c>
      <c r="G36" s="201" t="s">
        <v>5</v>
      </c>
      <c r="H36" s="201">
        <v>0</v>
      </c>
      <c r="I36" s="201" t="s">
        <v>5</v>
      </c>
      <c r="J36" s="201"/>
      <c r="K36" s="201"/>
      <c r="L36" s="201"/>
      <c r="M36" s="201"/>
      <c r="N36" s="201"/>
      <c r="O36" s="201"/>
      <c r="P36" s="201"/>
      <c r="Q36" s="201"/>
      <c r="R36" s="201"/>
      <c r="S36" s="201"/>
      <c r="T36" s="201"/>
      <c r="U36" s="201">
        <v>-72738</v>
      </c>
      <c r="V36" s="201"/>
      <c r="W36" s="201"/>
      <c r="X36" s="201"/>
    </row>
    <row r="37" spans="1:24" ht="27" customHeight="1" x14ac:dyDescent="0.25">
      <c r="B37" s="25" t="s">
        <v>445</v>
      </c>
      <c r="C37" s="201">
        <v>0</v>
      </c>
      <c r="D37" s="201">
        <v>0</v>
      </c>
      <c r="E37" s="201" t="s">
        <v>5</v>
      </c>
      <c r="F37" s="201" t="s">
        <v>5</v>
      </c>
      <c r="G37" s="201" t="s">
        <v>5</v>
      </c>
      <c r="H37" s="201">
        <v>0</v>
      </c>
      <c r="I37" s="201" t="s">
        <v>5</v>
      </c>
      <c r="J37" s="201" t="s">
        <v>5</v>
      </c>
      <c r="K37" s="201" t="s">
        <v>5</v>
      </c>
      <c r="L37" s="201" t="s">
        <v>5</v>
      </c>
      <c r="M37" s="201">
        <v>-236627</v>
      </c>
      <c r="N37" s="201">
        <v>-238815</v>
      </c>
      <c r="O37" s="201">
        <v>-238815</v>
      </c>
      <c r="P37" s="201">
        <v>-6036</v>
      </c>
      <c r="Q37" s="201">
        <v>-551852</v>
      </c>
      <c r="R37" s="201">
        <v>-528598</v>
      </c>
      <c r="S37" s="201">
        <v>-528598</v>
      </c>
      <c r="T37" s="201" t="s">
        <v>5</v>
      </c>
      <c r="U37" s="201" t="s">
        <v>5</v>
      </c>
      <c r="V37" s="201" t="s">
        <v>5</v>
      </c>
      <c r="W37" s="201" t="s">
        <v>5</v>
      </c>
      <c r="X37" s="201" t="s">
        <v>5</v>
      </c>
    </row>
    <row r="38" spans="1:24" ht="27" customHeight="1" x14ac:dyDescent="0.25">
      <c r="B38" s="25" t="s">
        <v>448</v>
      </c>
      <c r="C38" s="201">
        <v>0</v>
      </c>
      <c r="D38" s="201">
        <v>0</v>
      </c>
      <c r="E38" s="201" t="s">
        <v>5</v>
      </c>
      <c r="F38" s="201" t="s">
        <v>5</v>
      </c>
      <c r="G38" s="201" t="s">
        <v>5</v>
      </c>
      <c r="H38" s="201">
        <v>0</v>
      </c>
      <c r="I38" s="201" t="s">
        <v>5</v>
      </c>
      <c r="J38" s="201" t="s">
        <v>5</v>
      </c>
      <c r="K38" s="201" t="s">
        <v>5</v>
      </c>
      <c r="L38" s="201" t="s">
        <v>5</v>
      </c>
      <c r="M38" s="201" t="s">
        <v>5</v>
      </c>
      <c r="N38" s="201" t="s">
        <v>5</v>
      </c>
      <c r="O38" s="201" t="s">
        <v>5</v>
      </c>
      <c r="P38" s="201" t="s">
        <v>5</v>
      </c>
      <c r="Q38" s="201" t="s">
        <v>5</v>
      </c>
      <c r="R38" s="201" t="s">
        <v>5</v>
      </c>
      <c r="S38" s="201" t="s">
        <v>5</v>
      </c>
      <c r="T38" s="201" t="s">
        <v>5</v>
      </c>
      <c r="U38" s="201">
        <v>-2951789</v>
      </c>
      <c r="V38" s="201">
        <v>-2962566</v>
      </c>
      <c r="W38" s="201">
        <v>-2962564</v>
      </c>
      <c r="X38" s="201" t="s">
        <v>5</v>
      </c>
    </row>
    <row r="39" spans="1:24" s="96" customFormat="1" ht="27" customHeight="1" x14ac:dyDescent="0.25">
      <c r="A39"/>
      <c r="B39" s="25" t="s">
        <v>402</v>
      </c>
      <c r="C39" s="201">
        <v>0</v>
      </c>
      <c r="D39" s="201">
        <v>0</v>
      </c>
      <c r="E39" s="201" t="s">
        <v>5</v>
      </c>
      <c r="F39" s="201" t="s">
        <v>5</v>
      </c>
      <c r="G39" s="201" t="s">
        <v>5</v>
      </c>
      <c r="H39" s="201">
        <v>0</v>
      </c>
      <c r="I39" s="201" t="s">
        <v>5</v>
      </c>
      <c r="J39" s="201">
        <v>-6644</v>
      </c>
      <c r="K39" s="201"/>
      <c r="L39" s="201"/>
      <c r="M39" s="201">
        <v>-108550</v>
      </c>
      <c r="N39" s="201">
        <v>-108550</v>
      </c>
      <c r="O39" s="201">
        <v>-108550</v>
      </c>
      <c r="P39" s="201">
        <v>-108550</v>
      </c>
      <c r="Q39" s="201"/>
      <c r="R39" s="201"/>
      <c r="S39" s="201"/>
      <c r="T39" s="201"/>
      <c r="U39" s="201"/>
      <c r="V39" s="201"/>
      <c r="W39" s="201"/>
      <c r="X39" s="201"/>
    </row>
    <row r="40" spans="1:24" ht="27" customHeight="1" x14ac:dyDescent="0.25">
      <c r="B40" s="25" t="s">
        <v>451</v>
      </c>
      <c r="C40" s="201">
        <v>-327046</v>
      </c>
      <c r="D40" s="201">
        <v>133768</v>
      </c>
      <c r="E40" s="201">
        <v>419354</v>
      </c>
      <c r="F40" s="201">
        <v>407472</v>
      </c>
      <c r="G40" s="201">
        <v>265256</v>
      </c>
      <c r="H40" s="201">
        <v>110866</v>
      </c>
      <c r="I40" s="201">
        <v>324141</v>
      </c>
      <c r="J40" s="201">
        <v>246667</v>
      </c>
      <c r="K40" s="201">
        <v>1673697</v>
      </c>
      <c r="L40" s="201">
        <v>163330</v>
      </c>
      <c r="M40" s="201">
        <v>374678</v>
      </c>
      <c r="N40" s="201">
        <v>169496</v>
      </c>
      <c r="O40" s="201">
        <v>93379</v>
      </c>
      <c r="P40" s="201">
        <v>24204</v>
      </c>
      <c r="Q40" s="201">
        <v>423286</v>
      </c>
      <c r="R40" s="201">
        <v>255123</v>
      </c>
      <c r="S40" s="201">
        <v>356729</v>
      </c>
      <c r="T40" s="201">
        <v>159116</v>
      </c>
      <c r="U40" s="201">
        <v>2401106</v>
      </c>
      <c r="V40" s="201">
        <v>2212847</v>
      </c>
      <c r="W40" s="201">
        <v>915804</v>
      </c>
      <c r="X40" s="201">
        <v>109006</v>
      </c>
    </row>
    <row r="41" spans="1:24" ht="27" customHeight="1" x14ac:dyDescent="0.25">
      <c r="B41" s="25" t="s">
        <v>454</v>
      </c>
      <c r="C41" s="201">
        <v>-6841</v>
      </c>
      <c r="D41" s="201">
        <v>-1368</v>
      </c>
      <c r="E41" s="201">
        <v>-46727</v>
      </c>
      <c r="F41" s="201">
        <v>2165</v>
      </c>
      <c r="G41" s="201">
        <v>2485</v>
      </c>
      <c r="H41" s="201">
        <v>5557</v>
      </c>
      <c r="I41" s="201">
        <v>130038</v>
      </c>
      <c r="J41" s="201">
        <v>118936</v>
      </c>
      <c r="K41" s="201">
        <v>-13353</v>
      </c>
      <c r="L41" s="201">
        <v>-7009</v>
      </c>
      <c r="M41" s="201">
        <v>-24051</v>
      </c>
      <c r="N41" s="201">
        <v>-33546</v>
      </c>
      <c r="O41" s="201">
        <v>12294</v>
      </c>
      <c r="P41" s="201">
        <v>5218</v>
      </c>
      <c r="Q41" s="201">
        <v>57865</v>
      </c>
      <c r="R41" s="201">
        <v>56500</v>
      </c>
      <c r="S41" s="201">
        <v>45211</v>
      </c>
      <c r="T41" s="201">
        <v>1175</v>
      </c>
      <c r="U41" s="201">
        <v>-8436</v>
      </c>
      <c r="V41" s="201"/>
      <c r="W41" s="201"/>
      <c r="X41" s="201"/>
    </row>
    <row r="42" spans="1:24" ht="27" customHeight="1" x14ac:dyDescent="0.25">
      <c r="B42" s="25"/>
      <c r="C42" s="200">
        <v>3214337</v>
      </c>
      <c r="D42" s="200">
        <v>1535273</v>
      </c>
      <c r="E42" s="200">
        <v>6270257</v>
      </c>
      <c r="F42" s="200">
        <v>3789263</v>
      </c>
      <c r="G42" s="200">
        <v>2311434</v>
      </c>
      <c r="H42" s="200">
        <v>1131160</v>
      </c>
      <c r="I42" s="200">
        <v>4066192</v>
      </c>
      <c r="J42" s="200">
        <v>4014827</v>
      </c>
      <c r="K42" s="200">
        <v>3154673</v>
      </c>
      <c r="L42" s="200">
        <v>1549245</v>
      </c>
      <c r="M42" s="200">
        <v>1536732</v>
      </c>
      <c r="N42" s="200">
        <v>851388</v>
      </c>
      <c r="O42" s="200">
        <v>987611</v>
      </c>
      <c r="P42" s="200">
        <v>801372</v>
      </c>
      <c r="Q42" s="200">
        <v>3829783</v>
      </c>
      <c r="R42" s="200">
        <v>3179556</v>
      </c>
      <c r="S42" s="200">
        <v>2058766</v>
      </c>
      <c r="T42" s="200">
        <v>1287803</v>
      </c>
      <c r="U42" s="200">
        <v>3795858</v>
      </c>
      <c r="V42" s="200">
        <v>2894708</v>
      </c>
      <c r="W42" s="200">
        <v>1423438</v>
      </c>
      <c r="X42" s="200">
        <v>1162293</v>
      </c>
    </row>
    <row r="43" spans="1:24" s="96" customFormat="1" ht="27" customHeight="1" x14ac:dyDescent="0.25">
      <c r="A43"/>
      <c r="B43" s="27" t="s">
        <v>455</v>
      </c>
      <c r="C43" s="201"/>
      <c r="D43" s="201"/>
      <c r="E43" s="201"/>
      <c r="F43" s="20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</row>
    <row r="44" spans="1:24" s="96" customFormat="1" ht="27" customHeight="1" x14ac:dyDescent="0.25">
      <c r="A44"/>
      <c r="B44" s="25" t="s">
        <v>456</v>
      </c>
      <c r="C44" s="201">
        <v>64273</v>
      </c>
      <c r="D44" s="201">
        <v>133412</v>
      </c>
      <c r="E44" s="201">
        <v>-838945</v>
      </c>
      <c r="F44" s="201">
        <v>-296940</v>
      </c>
      <c r="G44" s="201">
        <v>48297</v>
      </c>
      <c r="H44" s="201">
        <v>-152336</v>
      </c>
      <c r="I44" s="201">
        <v>-440188</v>
      </c>
      <c r="J44" s="201">
        <v>-254645</v>
      </c>
      <c r="K44" s="201">
        <v>-104043</v>
      </c>
      <c r="L44" s="201">
        <v>-408167</v>
      </c>
      <c r="M44" s="201">
        <v>-90382</v>
      </c>
      <c r="N44" s="201">
        <v>-604578</v>
      </c>
      <c r="O44" s="201">
        <v>70863</v>
      </c>
      <c r="P44" s="201">
        <v>39436</v>
      </c>
      <c r="Q44" s="201">
        <v>-78420</v>
      </c>
      <c r="R44" s="201">
        <v>-54932</v>
      </c>
      <c r="S44" s="201">
        <v>139744</v>
      </c>
      <c r="T44" s="201">
        <v>101211</v>
      </c>
      <c r="U44" s="201">
        <v>-665727</v>
      </c>
      <c r="V44" s="201">
        <v>-699907</v>
      </c>
      <c r="W44" s="201">
        <v>-537832</v>
      </c>
      <c r="X44" s="201">
        <v>-264126</v>
      </c>
    </row>
    <row r="45" spans="1:24" ht="27" customHeight="1" x14ac:dyDescent="0.25">
      <c r="B45" s="25" t="s">
        <v>457</v>
      </c>
      <c r="C45" s="201">
        <v>0</v>
      </c>
      <c r="D45" s="201">
        <v>0</v>
      </c>
      <c r="E45" s="201" t="s">
        <v>5</v>
      </c>
      <c r="F45" s="201"/>
      <c r="G45" s="201"/>
      <c r="H45" s="201">
        <v>0</v>
      </c>
      <c r="I45" s="201">
        <v>190658</v>
      </c>
      <c r="J45" s="201" t="s">
        <v>5</v>
      </c>
      <c r="K45" s="201" t="s">
        <v>5</v>
      </c>
      <c r="L45" s="201" t="s">
        <v>5</v>
      </c>
      <c r="M45" s="201">
        <v>15120</v>
      </c>
      <c r="N45" s="201">
        <v>15121</v>
      </c>
      <c r="O45" s="201">
        <v>15121</v>
      </c>
      <c r="P45" s="201"/>
      <c r="Q45" s="201">
        <v>1466945</v>
      </c>
      <c r="R45" s="201">
        <v>1343115</v>
      </c>
      <c r="S45" s="201">
        <v>62771</v>
      </c>
      <c r="T45" s="201">
        <v>62771</v>
      </c>
      <c r="U45" s="201">
        <v>362469</v>
      </c>
      <c r="V45" s="201">
        <v>110709</v>
      </c>
      <c r="W45" s="201">
        <v>83115</v>
      </c>
      <c r="X45" s="201">
        <v>74534</v>
      </c>
    </row>
    <row r="46" spans="1:24" ht="27" customHeight="1" x14ac:dyDescent="0.25">
      <c r="B46" s="25" t="s">
        <v>458</v>
      </c>
      <c r="C46" s="201">
        <v>36632</v>
      </c>
      <c r="D46" s="201">
        <v>94752</v>
      </c>
      <c r="E46" s="201">
        <v>174638</v>
      </c>
      <c r="F46" s="201">
        <v>868966</v>
      </c>
      <c r="G46" s="201">
        <v>359080</v>
      </c>
      <c r="H46" s="201">
        <v>-104737</v>
      </c>
      <c r="I46" s="201">
        <v>2490079</v>
      </c>
      <c r="J46" s="201">
        <v>997234</v>
      </c>
      <c r="K46" s="201">
        <v>514199</v>
      </c>
      <c r="L46" s="201">
        <v>259715</v>
      </c>
      <c r="M46" s="201">
        <v>1667775</v>
      </c>
      <c r="N46" s="201">
        <v>-55073</v>
      </c>
      <c r="O46" s="201">
        <v>-23863</v>
      </c>
      <c r="P46" s="201">
        <v>75368</v>
      </c>
      <c r="Q46" s="201">
        <v>-59383</v>
      </c>
      <c r="R46" s="201">
        <v>-35086</v>
      </c>
      <c r="S46" s="201">
        <v>18144</v>
      </c>
      <c r="T46" s="201">
        <v>-9351</v>
      </c>
      <c r="U46" s="201">
        <v>-11699</v>
      </c>
      <c r="V46" s="201">
        <v>3443</v>
      </c>
      <c r="W46" s="201">
        <v>15276</v>
      </c>
      <c r="X46" s="201">
        <v>9515</v>
      </c>
    </row>
    <row r="47" spans="1:24" ht="27" customHeight="1" x14ac:dyDescent="0.25">
      <c r="B47" s="25" t="s">
        <v>459</v>
      </c>
      <c r="C47" s="201">
        <v>236053</v>
      </c>
      <c r="D47" s="201">
        <v>58024</v>
      </c>
      <c r="E47" s="201">
        <v>6377</v>
      </c>
      <c r="F47" s="201">
        <v>21625</v>
      </c>
      <c r="G47" s="201">
        <v>-7958</v>
      </c>
      <c r="H47" s="201">
        <v>121429</v>
      </c>
      <c r="I47" s="201">
        <v>148672</v>
      </c>
      <c r="J47" s="201">
        <v>248082</v>
      </c>
      <c r="K47" s="201">
        <v>259108</v>
      </c>
      <c r="L47" s="201">
        <v>-148888</v>
      </c>
      <c r="M47" s="201">
        <v>-554685</v>
      </c>
      <c r="N47" s="201">
        <v>-35954</v>
      </c>
      <c r="O47" s="201">
        <v>22399</v>
      </c>
      <c r="P47" s="201">
        <v>3450</v>
      </c>
      <c r="Q47" s="201">
        <v>-162380</v>
      </c>
      <c r="R47" s="201">
        <v>5706</v>
      </c>
      <c r="S47" s="201">
        <v>84987</v>
      </c>
      <c r="T47" s="201">
        <v>116227</v>
      </c>
      <c r="U47" s="201">
        <v>-71267</v>
      </c>
      <c r="V47" s="201">
        <v>-18950</v>
      </c>
      <c r="W47" s="201">
        <v>8953</v>
      </c>
      <c r="X47" s="201">
        <v>-43</v>
      </c>
    </row>
    <row r="48" spans="1:24" ht="27" customHeight="1" x14ac:dyDescent="0.25">
      <c r="B48" s="25" t="s">
        <v>460</v>
      </c>
      <c r="C48" s="201">
        <v>61</v>
      </c>
      <c r="D48" s="201">
        <v>-6254</v>
      </c>
      <c r="E48" s="201">
        <v>45285</v>
      </c>
      <c r="F48" s="201">
        <v>35776</v>
      </c>
      <c r="G48" s="201">
        <v>29407</v>
      </c>
      <c r="H48" s="201">
        <v>16716</v>
      </c>
      <c r="I48" s="201">
        <v>30884</v>
      </c>
      <c r="J48" s="201">
        <v>-34852</v>
      </c>
      <c r="K48" s="201">
        <v>-30521</v>
      </c>
      <c r="L48" s="201">
        <v>-25595</v>
      </c>
      <c r="M48" s="201">
        <v>-70354</v>
      </c>
      <c r="N48" s="201">
        <v>-79400</v>
      </c>
      <c r="O48" s="201">
        <v>-48301</v>
      </c>
      <c r="P48" s="201">
        <v>-48164</v>
      </c>
      <c r="Q48" s="201">
        <v>1537655</v>
      </c>
      <c r="R48" s="201">
        <v>1506112</v>
      </c>
      <c r="S48" s="201">
        <v>1424416</v>
      </c>
      <c r="T48" s="201">
        <v>1419404</v>
      </c>
      <c r="U48" s="201">
        <v>10975</v>
      </c>
      <c r="V48" s="201">
        <v>310</v>
      </c>
      <c r="W48" s="201">
        <v>33518</v>
      </c>
      <c r="X48" s="201">
        <v>28177</v>
      </c>
    </row>
    <row r="49" spans="1:24" s="96" customFormat="1" ht="27" customHeight="1" x14ac:dyDescent="0.25">
      <c r="A49"/>
      <c r="B49" s="25" t="s">
        <v>527</v>
      </c>
      <c r="C49" s="201">
        <v>212939</v>
      </c>
      <c r="D49" s="201">
        <v>56311</v>
      </c>
      <c r="E49" s="201">
        <v>592368</v>
      </c>
      <c r="F49" s="201">
        <v>278906</v>
      </c>
      <c r="G49" s="201">
        <v>204368</v>
      </c>
      <c r="H49" s="201">
        <v>99708</v>
      </c>
      <c r="I49" s="201">
        <v>707695</v>
      </c>
      <c r="J49" s="201">
        <v>480332</v>
      </c>
      <c r="K49" s="201">
        <v>181747</v>
      </c>
      <c r="L49" s="201"/>
      <c r="M49" s="201">
        <v>499065</v>
      </c>
      <c r="N49" s="201">
        <v>354136</v>
      </c>
      <c r="O49" s="201">
        <v>324677</v>
      </c>
      <c r="P49" s="201">
        <v>970</v>
      </c>
      <c r="Q49" s="201">
        <v>386555</v>
      </c>
      <c r="R49" s="201">
        <v>247212</v>
      </c>
      <c r="S49" s="201">
        <v>169064</v>
      </c>
      <c r="T49" s="201">
        <v>492</v>
      </c>
      <c r="U49" s="201">
        <v>282580</v>
      </c>
      <c r="V49" s="201">
        <v>187052</v>
      </c>
      <c r="W49" s="201">
        <v>126791</v>
      </c>
      <c r="X49" s="201">
        <v>329</v>
      </c>
    </row>
    <row r="50" spans="1:24" ht="27" customHeight="1" x14ac:dyDescent="0.25">
      <c r="B50" s="25" t="s">
        <v>461</v>
      </c>
      <c r="C50" s="201">
        <v>515649</v>
      </c>
      <c r="D50" s="201">
        <v>287217</v>
      </c>
      <c r="E50" s="201">
        <v>904806</v>
      </c>
      <c r="F50" s="201">
        <v>685665</v>
      </c>
      <c r="G50" s="201">
        <v>428264</v>
      </c>
      <c r="H50" s="201">
        <v>223937</v>
      </c>
      <c r="I50" s="201">
        <v>620439</v>
      </c>
      <c r="J50" s="201">
        <v>652218</v>
      </c>
      <c r="K50" s="201">
        <v>475881</v>
      </c>
      <c r="L50" s="201">
        <v>155765</v>
      </c>
      <c r="M50" s="201">
        <v>713641</v>
      </c>
      <c r="N50" s="201">
        <v>593776</v>
      </c>
      <c r="O50" s="201">
        <v>439273</v>
      </c>
      <c r="P50" s="201">
        <v>220540</v>
      </c>
      <c r="Q50" s="201">
        <v>688104</v>
      </c>
      <c r="R50" s="201">
        <v>536179</v>
      </c>
      <c r="S50" s="201">
        <v>340341</v>
      </c>
      <c r="T50" s="201">
        <v>158756</v>
      </c>
      <c r="U50" s="201">
        <v>511451</v>
      </c>
      <c r="V50" s="201">
        <v>286130</v>
      </c>
      <c r="W50" s="201">
        <v>195952</v>
      </c>
      <c r="X50" s="201">
        <v>111489</v>
      </c>
    </row>
    <row r="51" spans="1:24" s="96" customFormat="1" ht="27" customHeight="1" x14ac:dyDescent="0.25">
      <c r="A51"/>
      <c r="B51" s="25" t="s">
        <v>462</v>
      </c>
      <c r="C51" s="201"/>
      <c r="D51" s="201">
        <v>0</v>
      </c>
      <c r="E51" s="201" t="s">
        <v>5</v>
      </c>
      <c r="F51" s="201">
        <v>0</v>
      </c>
      <c r="G51" s="201">
        <v>0</v>
      </c>
      <c r="H51" s="201">
        <v>0</v>
      </c>
      <c r="I51" s="201" t="s">
        <v>5</v>
      </c>
      <c r="J51" s="201" t="s">
        <v>5</v>
      </c>
      <c r="K51" s="201" t="s">
        <v>5</v>
      </c>
      <c r="L51" s="201" t="s">
        <v>5</v>
      </c>
      <c r="M51" s="201" t="s">
        <v>5</v>
      </c>
      <c r="N51" s="201" t="s">
        <v>5</v>
      </c>
      <c r="O51" s="201" t="s">
        <v>5</v>
      </c>
      <c r="P51" s="201" t="s">
        <v>5</v>
      </c>
      <c r="Q51" s="201" t="s">
        <v>5</v>
      </c>
      <c r="R51" s="201" t="s">
        <v>5</v>
      </c>
      <c r="S51" s="201" t="s">
        <v>5</v>
      </c>
      <c r="T51" s="201" t="s">
        <v>5</v>
      </c>
      <c r="U51" s="201" t="s">
        <v>5</v>
      </c>
      <c r="V51" s="201" t="s">
        <v>5</v>
      </c>
      <c r="W51" s="201">
        <v>43722</v>
      </c>
      <c r="X51" s="201" t="s">
        <v>5</v>
      </c>
    </row>
    <row r="52" spans="1:24" ht="27" customHeight="1" x14ac:dyDescent="0.25">
      <c r="B52" s="25" t="s">
        <v>454</v>
      </c>
      <c r="C52" s="201">
        <v>-90246</v>
      </c>
      <c r="D52" s="201">
        <v>9177</v>
      </c>
      <c r="E52" s="201">
        <v>152420</v>
      </c>
      <c r="F52" s="201">
        <v>-110602</v>
      </c>
      <c r="G52" s="201">
        <v>-157581</v>
      </c>
      <c r="H52" s="201">
        <v>-106035</v>
      </c>
      <c r="I52" s="201">
        <v>87080</v>
      </c>
      <c r="J52" s="201">
        <v>55730</v>
      </c>
      <c r="K52" s="201">
        <v>48538</v>
      </c>
      <c r="L52" s="201">
        <v>94210</v>
      </c>
      <c r="M52" s="201">
        <v>-267030</v>
      </c>
      <c r="N52" s="201">
        <v>-68860</v>
      </c>
      <c r="O52" s="201">
        <v>-170371</v>
      </c>
      <c r="P52" s="201">
        <v>-10850</v>
      </c>
      <c r="Q52" s="201">
        <v>187886</v>
      </c>
      <c r="R52" s="201">
        <v>150521</v>
      </c>
      <c r="S52" s="201">
        <v>85197</v>
      </c>
      <c r="T52" s="201">
        <v>75199</v>
      </c>
      <c r="U52" s="201">
        <v>25258</v>
      </c>
      <c r="V52" s="201">
        <v>58338</v>
      </c>
      <c r="W52" s="201">
        <v>18081</v>
      </c>
      <c r="X52" s="201">
        <v>-87248</v>
      </c>
    </row>
    <row r="53" spans="1:24" ht="27" customHeight="1" x14ac:dyDescent="0.25">
      <c r="B53" s="27"/>
      <c r="C53" s="200">
        <v>975361</v>
      </c>
      <c r="D53" s="200">
        <v>632639</v>
      </c>
      <c r="E53" s="200">
        <v>1036949</v>
      </c>
      <c r="F53" s="200">
        <v>1483396</v>
      </c>
      <c r="G53" s="200">
        <v>903877</v>
      </c>
      <c r="H53" s="200">
        <v>98682</v>
      </c>
      <c r="I53" s="200">
        <v>3835319</v>
      </c>
      <c r="J53" s="200">
        <v>2144099</v>
      </c>
      <c r="K53" s="200">
        <v>1344909</v>
      </c>
      <c r="L53" s="200">
        <v>-72960</v>
      </c>
      <c r="M53" s="200">
        <v>1913150</v>
      </c>
      <c r="N53" s="200">
        <v>119168</v>
      </c>
      <c r="O53" s="200">
        <v>629798</v>
      </c>
      <c r="P53" s="200">
        <v>280750</v>
      </c>
      <c r="Q53" s="200">
        <v>3966962</v>
      </c>
      <c r="R53" s="200">
        <v>3698827</v>
      </c>
      <c r="S53" s="200">
        <v>2324664</v>
      </c>
      <c r="T53" s="200">
        <v>1924709</v>
      </c>
      <c r="U53" s="200">
        <v>444040</v>
      </c>
      <c r="V53" s="200">
        <v>-72875</v>
      </c>
      <c r="W53" s="200">
        <v>-12424</v>
      </c>
      <c r="X53" s="200">
        <v>-127373</v>
      </c>
    </row>
    <row r="54" spans="1:24" ht="27" customHeight="1" x14ac:dyDescent="0.25">
      <c r="B54" s="27" t="s">
        <v>463</v>
      </c>
      <c r="C54" s="200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</row>
    <row r="55" spans="1:24" ht="27" customHeight="1" x14ac:dyDescent="0.25">
      <c r="B55" s="25" t="s">
        <v>464</v>
      </c>
      <c r="C55" s="201">
        <v>-257013</v>
      </c>
      <c r="D55" s="201">
        <v>-349649</v>
      </c>
      <c r="E55" s="201">
        <v>184647</v>
      </c>
      <c r="F55" s="201">
        <v>-48684</v>
      </c>
      <c r="G55" s="201">
        <v>-339078</v>
      </c>
      <c r="H55" s="201">
        <v>-384381</v>
      </c>
      <c r="I55" s="201">
        <v>148706</v>
      </c>
      <c r="J55" s="201">
        <v>57393</v>
      </c>
      <c r="K55" s="201">
        <v>-297763</v>
      </c>
      <c r="L55" s="201">
        <v>-440688</v>
      </c>
      <c r="M55" s="201">
        <v>324857</v>
      </c>
      <c r="N55" s="201">
        <v>1012234</v>
      </c>
      <c r="O55" s="201">
        <v>23376</v>
      </c>
      <c r="P55" s="201">
        <v>-401546</v>
      </c>
      <c r="Q55" s="201">
        <v>278382</v>
      </c>
      <c r="R55" s="201">
        <v>-88887</v>
      </c>
      <c r="S55" s="201">
        <v>-134442</v>
      </c>
      <c r="T55" s="201">
        <v>-357166</v>
      </c>
      <c r="U55" s="201">
        <v>278639</v>
      </c>
      <c r="V55" s="201">
        <v>257480</v>
      </c>
      <c r="W55" s="201">
        <v>39542</v>
      </c>
      <c r="X55" s="201">
        <v>210992</v>
      </c>
    </row>
    <row r="56" spans="1:24" ht="27" customHeight="1" x14ac:dyDescent="0.25">
      <c r="B56" s="25" t="s">
        <v>465</v>
      </c>
      <c r="C56" s="201">
        <v>-148610</v>
      </c>
      <c r="D56" s="201">
        <v>-87005</v>
      </c>
      <c r="E56" s="201">
        <v>778245</v>
      </c>
      <c r="F56" s="201">
        <v>-99340</v>
      </c>
      <c r="G56" s="201">
        <v>126434</v>
      </c>
      <c r="H56" s="201">
        <v>190472</v>
      </c>
      <c r="I56" s="201">
        <v>408073</v>
      </c>
      <c r="J56" s="201">
        <v>174075</v>
      </c>
      <c r="K56" s="201">
        <v>105552</v>
      </c>
      <c r="L56" s="201">
        <v>171815</v>
      </c>
      <c r="M56" s="201">
        <v>5008</v>
      </c>
      <c r="N56" s="201">
        <v>928248</v>
      </c>
      <c r="O56" s="201">
        <v>625358</v>
      </c>
      <c r="P56" s="201">
        <v>235181</v>
      </c>
      <c r="Q56" s="201">
        <v>823522</v>
      </c>
      <c r="R56" s="201">
        <v>468922</v>
      </c>
      <c r="S56" s="201">
        <v>268294</v>
      </c>
      <c r="T56" s="201">
        <v>-44498</v>
      </c>
      <c r="U56" s="201">
        <v>-162318</v>
      </c>
      <c r="V56" s="201">
        <v>-155462</v>
      </c>
      <c r="W56" s="201">
        <v>-123566</v>
      </c>
      <c r="X56" s="201">
        <v>-105222</v>
      </c>
    </row>
    <row r="57" spans="1:24" ht="27" customHeight="1" x14ac:dyDescent="0.25">
      <c r="B57" s="25" t="s">
        <v>466</v>
      </c>
      <c r="C57" s="201" t="s">
        <v>5</v>
      </c>
      <c r="D57" s="201" t="s">
        <v>5</v>
      </c>
      <c r="E57" s="201">
        <v>0</v>
      </c>
      <c r="F57" s="201">
        <v>582798</v>
      </c>
      <c r="G57" s="201">
        <v>435024</v>
      </c>
      <c r="H57" s="201">
        <v>13933</v>
      </c>
      <c r="I57" s="201">
        <v>49672</v>
      </c>
      <c r="J57" s="201">
        <v>724793</v>
      </c>
      <c r="K57" s="201">
        <v>397869</v>
      </c>
      <c r="L57" s="201">
        <v>568746</v>
      </c>
      <c r="M57" s="201">
        <v>1206026</v>
      </c>
      <c r="N57" s="201">
        <v>987603</v>
      </c>
      <c r="O57" s="201">
        <v>868406</v>
      </c>
      <c r="P57" s="201">
        <v>200177</v>
      </c>
      <c r="Q57" s="201">
        <v>689596</v>
      </c>
      <c r="R57" s="201">
        <v>533851</v>
      </c>
      <c r="S57" s="201">
        <v>325781</v>
      </c>
      <c r="T57" s="201">
        <v>107804</v>
      </c>
      <c r="U57" s="201">
        <v>1432536</v>
      </c>
      <c r="V57" s="201">
        <v>1308654</v>
      </c>
      <c r="W57" s="201">
        <v>1273327</v>
      </c>
      <c r="X57" s="201">
        <v>287139</v>
      </c>
    </row>
    <row r="58" spans="1:24" ht="27" customHeight="1" x14ac:dyDescent="0.25">
      <c r="B58" s="25" t="s">
        <v>467</v>
      </c>
      <c r="C58" s="201">
        <v>100168</v>
      </c>
      <c r="D58" s="201">
        <v>-7636</v>
      </c>
      <c r="E58" s="201">
        <v>-21266</v>
      </c>
      <c r="F58" s="201">
        <v>-13036</v>
      </c>
      <c r="G58" s="201">
        <v>-26797</v>
      </c>
      <c r="H58" s="201">
        <v>-28013</v>
      </c>
      <c r="I58" s="201">
        <v>34826</v>
      </c>
      <c r="J58" s="201">
        <v>35557</v>
      </c>
      <c r="K58" s="201">
        <v>38782</v>
      </c>
      <c r="L58" s="201">
        <v>-18159</v>
      </c>
      <c r="M58" s="201">
        <v>12434</v>
      </c>
      <c r="N58" s="201">
        <v>20396</v>
      </c>
      <c r="O58" s="201">
        <v>27079</v>
      </c>
      <c r="P58" s="201">
        <v>-22307</v>
      </c>
      <c r="Q58" s="201">
        <v>12711</v>
      </c>
      <c r="R58" s="201">
        <v>37952</v>
      </c>
      <c r="S58" s="201">
        <v>34029</v>
      </c>
      <c r="T58" s="201">
        <v>-13806</v>
      </c>
      <c r="U58" s="201">
        <v>-83686</v>
      </c>
      <c r="V58" s="201">
        <v>-31465</v>
      </c>
      <c r="W58" s="201">
        <v>-27420</v>
      </c>
      <c r="X58" s="201">
        <v>10672</v>
      </c>
    </row>
    <row r="59" spans="1:24" ht="27" customHeight="1" x14ac:dyDescent="0.25">
      <c r="B59" s="25" t="s">
        <v>468</v>
      </c>
      <c r="C59" s="201">
        <v>-8493</v>
      </c>
      <c r="D59" s="201">
        <v>-9113</v>
      </c>
      <c r="E59" s="201">
        <v>1994</v>
      </c>
      <c r="F59" s="201">
        <v>-7862</v>
      </c>
      <c r="G59" s="201">
        <v>11145</v>
      </c>
      <c r="H59" s="201">
        <v>2113</v>
      </c>
      <c r="I59" s="201">
        <v>-239711</v>
      </c>
      <c r="J59" s="201">
        <v>-208283</v>
      </c>
      <c r="K59" s="201">
        <v>-206941</v>
      </c>
      <c r="L59" s="201">
        <v>-239715</v>
      </c>
      <c r="M59" s="201">
        <v>77965</v>
      </c>
      <c r="N59" s="201">
        <v>105734</v>
      </c>
      <c r="O59" s="201">
        <v>22988</v>
      </c>
      <c r="P59" s="201">
        <v>-22769</v>
      </c>
      <c r="Q59" s="201">
        <v>132350</v>
      </c>
      <c r="R59" s="201">
        <v>59563</v>
      </c>
      <c r="S59" s="201">
        <v>59626</v>
      </c>
      <c r="T59" s="201">
        <v>19308</v>
      </c>
      <c r="U59" s="201">
        <v>-88900</v>
      </c>
      <c r="V59" s="201">
        <v>-50043</v>
      </c>
      <c r="W59" s="201">
        <v>-17784</v>
      </c>
      <c r="X59" s="201">
        <v>-33903</v>
      </c>
    </row>
    <row r="60" spans="1:24" s="96" customFormat="1" ht="27" customHeight="1" x14ac:dyDescent="0.25">
      <c r="A60"/>
      <c r="B60" s="25" t="s">
        <v>542</v>
      </c>
      <c r="C60" s="201">
        <v>-257971</v>
      </c>
      <c r="D60" s="201">
        <v>-126351</v>
      </c>
      <c r="E60" s="201">
        <v>-535025</v>
      </c>
      <c r="F60" s="201">
        <v>-378238</v>
      </c>
      <c r="G60" s="201">
        <v>-248276</v>
      </c>
      <c r="H60" s="201">
        <v>-119515</v>
      </c>
      <c r="I60" s="201">
        <v>-481964</v>
      </c>
      <c r="J60" s="201">
        <v>-348494</v>
      </c>
      <c r="K60" s="201">
        <v>-228927</v>
      </c>
      <c r="L60" s="201">
        <v>-110912</v>
      </c>
      <c r="M60" s="201">
        <v>-421970</v>
      </c>
      <c r="N60" s="201">
        <v>-301615</v>
      </c>
      <c r="O60" s="201">
        <v>-198972</v>
      </c>
      <c r="P60" s="201">
        <v>-99583</v>
      </c>
      <c r="Q60" s="201">
        <v>-366964</v>
      </c>
      <c r="R60" s="201">
        <v>-266683</v>
      </c>
      <c r="S60" s="201">
        <v>-129584</v>
      </c>
      <c r="T60" s="201">
        <v>-87785</v>
      </c>
      <c r="U60" s="201">
        <v>-343253</v>
      </c>
      <c r="V60" s="201">
        <v>-247720</v>
      </c>
      <c r="W60" s="201">
        <v>-163037</v>
      </c>
      <c r="X60" s="201">
        <v>-78866</v>
      </c>
    </row>
    <row r="61" spans="1:24" s="96" customFormat="1" ht="27" customHeight="1" x14ac:dyDescent="0.25">
      <c r="A61"/>
      <c r="B61" s="25" t="s">
        <v>528</v>
      </c>
      <c r="C61" s="201">
        <v>185657</v>
      </c>
      <c r="D61" s="201">
        <v>77008</v>
      </c>
      <c r="E61" s="201">
        <v>249380</v>
      </c>
      <c r="F61" s="201"/>
      <c r="G61" s="201"/>
      <c r="H61" s="201">
        <v>108124</v>
      </c>
      <c r="I61" s="201">
        <v>219273</v>
      </c>
      <c r="J61" s="201">
        <v>0</v>
      </c>
      <c r="K61" s="201">
        <v>0</v>
      </c>
      <c r="L61" s="201">
        <v>0</v>
      </c>
      <c r="M61" s="201">
        <v>0</v>
      </c>
      <c r="N61" s="201">
        <v>0</v>
      </c>
      <c r="O61" s="201">
        <v>0</v>
      </c>
      <c r="P61" s="201">
        <v>0</v>
      </c>
      <c r="Q61" s="201">
        <v>0</v>
      </c>
      <c r="R61" s="201">
        <v>0</v>
      </c>
      <c r="S61" s="201">
        <v>0</v>
      </c>
      <c r="T61" s="201">
        <v>0</v>
      </c>
      <c r="U61" s="201">
        <v>0</v>
      </c>
      <c r="V61" s="201">
        <v>0</v>
      </c>
      <c r="W61" s="201">
        <v>0</v>
      </c>
      <c r="X61" s="201">
        <v>0</v>
      </c>
    </row>
    <row r="62" spans="1:24" ht="27" customHeight="1" x14ac:dyDescent="0.25">
      <c r="B62" s="25" t="s">
        <v>470</v>
      </c>
      <c r="C62" s="201">
        <v>-373</v>
      </c>
      <c r="D62" s="201">
        <v>0</v>
      </c>
      <c r="E62" s="201">
        <v>0</v>
      </c>
      <c r="F62" s="201">
        <v>138699</v>
      </c>
      <c r="G62" s="201">
        <v>149208</v>
      </c>
      <c r="H62" s="201">
        <v>0</v>
      </c>
      <c r="I62" s="201">
        <v>0</v>
      </c>
      <c r="J62" s="201">
        <v>47783</v>
      </c>
      <c r="K62" s="201">
        <v>-83114</v>
      </c>
      <c r="L62" s="201">
        <v>-274135</v>
      </c>
      <c r="M62" s="201">
        <v>0</v>
      </c>
      <c r="N62" s="201">
        <v>0</v>
      </c>
      <c r="O62" s="201">
        <v>0</v>
      </c>
      <c r="P62" s="201">
        <v>0</v>
      </c>
      <c r="Q62" s="201">
        <v>0</v>
      </c>
      <c r="R62" s="201">
        <v>0</v>
      </c>
      <c r="S62" s="201">
        <v>0</v>
      </c>
      <c r="T62" s="201">
        <v>0</v>
      </c>
      <c r="U62" s="201">
        <v>0</v>
      </c>
      <c r="V62" s="201">
        <v>0</v>
      </c>
      <c r="W62" s="201">
        <v>0</v>
      </c>
      <c r="X62" s="201">
        <v>0</v>
      </c>
    </row>
    <row r="63" spans="1:24" ht="27" customHeight="1" x14ac:dyDescent="0.25">
      <c r="B63" s="25" t="s">
        <v>469</v>
      </c>
      <c r="C63" s="201">
        <v>0</v>
      </c>
      <c r="D63" s="201">
        <v>0</v>
      </c>
      <c r="E63" s="201" t="s">
        <v>5</v>
      </c>
      <c r="F63" s="201"/>
      <c r="G63" s="201"/>
      <c r="H63" s="201">
        <v>0</v>
      </c>
      <c r="I63" s="201">
        <v>0</v>
      </c>
      <c r="J63" s="201">
        <v>0</v>
      </c>
      <c r="K63" s="201">
        <v>0</v>
      </c>
      <c r="L63" s="201">
        <v>0</v>
      </c>
      <c r="M63" s="201">
        <v>0</v>
      </c>
      <c r="N63" s="201">
        <v>0</v>
      </c>
      <c r="O63" s="201">
        <v>0</v>
      </c>
      <c r="P63" s="201">
        <v>0</v>
      </c>
      <c r="Q63" s="201">
        <v>0</v>
      </c>
      <c r="R63" s="201">
        <v>0</v>
      </c>
      <c r="S63" s="201">
        <v>0</v>
      </c>
      <c r="T63" s="201">
        <v>0</v>
      </c>
      <c r="U63" s="201">
        <v>-80862</v>
      </c>
      <c r="V63" s="201">
        <v>-80862</v>
      </c>
      <c r="W63" s="201">
        <v>-80862</v>
      </c>
      <c r="X63" s="201">
        <v>-48030</v>
      </c>
    </row>
    <row r="64" spans="1:24" ht="27" customHeight="1" x14ac:dyDescent="0.25">
      <c r="B64" s="25" t="s">
        <v>454</v>
      </c>
      <c r="C64" s="201">
        <v>-249886</v>
      </c>
      <c r="D64" s="201">
        <v>62303</v>
      </c>
      <c r="E64" s="201">
        <v>-41315</v>
      </c>
      <c r="F64" s="201">
        <v>82279</v>
      </c>
      <c r="G64" s="201">
        <v>5609</v>
      </c>
      <c r="H64" s="201">
        <v>148027</v>
      </c>
      <c r="I64" s="201">
        <v>-198025</v>
      </c>
      <c r="J64" s="201">
        <v>-38379</v>
      </c>
      <c r="K64" s="201">
        <v>-121158</v>
      </c>
      <c r="L64" s="201">
        <v>42742</v>
      </c>
      <c r="M64" s="201">
        <v>100969</v>
      </c>
      <c r="N64" s="201">
        <v>26387</v>
      </c>
      <c r="O64" s="201">
        <v>-58057</v>
      </c>
      <c r="P64" s="201">
        <v>-20287</v>
      </c>
      <c r="Q64" s="201">
        <v>106909</v>
      </c>
      <c r="R64" s="201">
        <v>-72203</v>
      </c>
      <c r="S64" s="201">
        <v>49995</v>
      </c>
      <c r="T64" s="201">
        <v>-11255</v>
      </c>
      <c r="U64" s="201">
        <v>6210</v>
      </c>
      <c r="V64" s="201">
        <v>-84472</v>
      </c>
      <c r="W64" s="201">
        <v>-77801</v>
      </c>
      <c r="X64" s="201">
        <v>-9530</v>
      </c>
    </row>
    <row r="65" spans="1:24" ht="27" customHeight="1" x14ac:dyDescent="0.25">
      <c r="B65" s="27"/>
      <c r="C65" s="200">
        <v>-636521</v>
      </c>
      <c r="D65" s="200">
        <v>-440443</v>
      </c>
      <c r="E65" s="200">
        <v>616660</v>
      </c>
      <c r="F65" s="200">
        <v>256616</v>
      </c>
      <c r="G65" s="200">
        <v>113269</v>
      </c>
      <c r="H65" s="200">
        <v>-69240</v>
      </c>
      <c r="I65" s="200">
        <v>-59150</v>
      </c>
      <c r="J65" s="200">
        <v>444445</v>
      </c>
      <c r="K65" s="200">
        <v>-395700</v>
      </c>
      <c r="L65" s="200">
        <v>-300306</v>
      </c>
      <c r="M65" s="200">
        <v>1305289</v>
      </c>
      <c r="N65" s="200">
        <v>2778987</v>
      </c>
      <c r="O65" s="200">
        <v>1310178</v>
      </c>
      <c r="P65" s="200">
        <v>-131134</v>
      </c>
      <c r="Q65" s="200">
        <v>1676506</v>
      </c>
      <c r="R65" s="200">
        <v>672515</v>
      </c>
      <c r="S65" s="200">
        <v>473699</v>
      </c>
      <c r="T65" s="200">
        <v>-387398</v>
      </c>
      <c r="U65" s="200">
        <v>958366</v>
      </c>
      <c r="V65" s="200">
        <v>916110</v>
      </c>
      <c r="W65" s="200">
        <v>822399</v>
      </c>
      <c r="X65" s="200">
        <v>233252</v>
      </c>
    </row>
    <row r="66" spans="1:24" ht="27" customHeight="1" x14ac:dyDescent="0.25">
      <c r="B66" s="27" t="s">
        <v>529</v>
      </c>
      <c r="C66" s="200">
        <v>3553177</v>
      </c>
      <c r="D66" s="200">
        <v>1727469</v>
      </c>
      <c r="E66" s="200">
        <v>7923866</v>
      </c>
      <c r="F66" s="200">
        <v>5529275</v>
      </c>
      <c r="G66" s="200">
        <v>3328580</v>
      </c>
      <c r="H66" s="200">
        <v>1160602</v>
      </c>
      <c r="I66" s="200">
        <v>7842361</v>
      </c>
      <c r="J66" s="200">
        <v>6603371</v>
      </c>
      <c r="K66" s="200">
        <v>4103882</v>
      </c>
      <c r="L66" s="200">
        <v>1175979</v>
      </c>
      <c r="M66" s="200">
        <v>4755171</v>
      </c>
      <c r="N66" s="200">
        <v>3749543</v>
      </c>
      <c r="O66" s="200">
        <v>2927587</v>
      </c>
      <c r="P66" s="200">
        <v>950988</v>
      </c>
      <c r="Q66" s="200">
        <v>9473251</v>
      </c>
      <c r="R66" s="200">
        <v>7550898</v>
      </c>
      <c r="S66" s="200">
        <v>4857129</v>
      </c>
      <c r="T66" s="200">
        <v>2825114</v>
      </c>
      <c r="U66" s="200">
        <v>5198264</v>
      </c>
      <c r="V66" s="200">
        <v>3737943</v>
      </c>
      <c r="W66" s="200">
        <v>2233413</v>
      </c>
      <c r="X66" s="200">
        <v>1268172</v>
      </c>
    </row>
    <row r="67" spans="1:24" ht="27" customHeight="1" x14ac:dyDescent="0.25">
      <c r="B67" s="25" t="s">
        <v>530</v>
      </c>
      <c r="C67" s="201">
        <v>101344</v>
      </c>
      <c r="D67" s="201">
        <v>45119</v>
      </c>
      <c r="E67" s="201">
        <v>328217</v>
      </c>
      <c r="F67" s="200"/>
      <c r="G67" s="200"/>
      <c r="H67" s="200">
        <v>92340</v>
      </c>
      <c r="I67" s="201">
        <v>290860</v>
      </c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</row>
    <row r="68" spans="1:24" ht="27" customHeight="1" x14ac:dyDescent="0.25">
      <c r="B68" s="25" t="s">
        <v>471</v>
      </c>
      <c r="C68" s="201">
        <v>-442424</v>
      </c>
      <c r="D68" s="201">
        <v>-64338</v>
      </c>
      <c r="E68" s="201">
        <v>-1026146</v>
      </c>
      <c r="F68" s="201">
        <v>-520561</v>
      </c>
      <c r="G68" s="201">
        <v>-476435</v>
      </c>
      <c r="H68" s="201">
        <v>-97999</v>
      </c>
      <c r="I68" s="201">
        <v>-1010077</v>
      </c>
      <c r="J68" s="201">
        <v>-537616</v>
      </c>
      <c r="K68" s="201">
        <v>-475481</v>
      </c>
      <c r="L68" s="201">
        <v>-140990</v>
      </c>
      <c r="M68" s="201">
        <v>-1590268</v>
      </c>
      <c r="N68" s="201">
        <v>-1142930</v>
      </c>
      <c r="O68" s="201">
        <v>-638160</v>
      </c>
      <c r="P68" s="201">
        <v>-154673</v>
      </c>
      <c r="Q68" s="201">
        <v>-1081476</v>
      </c>
      <c r="R68" s="201">
        <v>-669538</v>
      </c>
      <c r="S68" s="201">
        <v>-616033</v>
      </c>
      <c r="T68" s="201">
        <v>-200576</v>
      </c>
      <c r="U68" s="201">
        <v>-1264800</v>
      </c>
      <c r="V68" s="201">
        <v>-845994</v>
      </c>
      <c r="W68" s="201">
        <v>-706605</v>
      </c>
      <c r="X68" s="201">
        <v>-284847</v>
      </c>
    </row>
    <row r="69" spans="1:24" s="96" customFormat="1" ht="27" customHeight="1" x14ac:dyDescent="0.25">
      <c r="A69"/>
      <c r="B69" s="25" t="s">
        <v>472</v>
      </c>
      <c r="C69" s="201">
        <v>-2550</v>
      </c>
      <c r="D69" s="201">
        <v>-1170</v>
      </c>
      <c r="E69" s="201">
        <v>-5207</v>
      </c>
      <c r="F69" s="201">
        <v>-2863</v>
      </c>
      <c r="G69" s="201">
        <v>1582</v>
      </c>
      <c r="H69" s="201">
        <v>-624</v>
      </c>
      <c r="I69" s="201">
        <v>-3695</v>
      </c>
      <c r="J69" s="201">
        <v>-2436</v>
      </c>
      <c r="K69" s="201">
        <v>-1147</v>
      </c>
      <c r="L69" s="201">
        <v>-331</v>
      </c>
      <c r="M69" s="201">
        <v>-2914</v>
      </c>
      <c r="N69" s="201">
        <v>-2167</v>
      </c>
      <c r="O69" s="201">
        <v>-1030</v>
      </c>
      <c r="P69" s="201">
        <v>-295</v>
      </c>
      <c r="Q69" s="201">
        <v>-3704</v>
      </c>
      <c r="R69" s="201">
        <v>-3950</v>
      </c>
      <c r="S69" s="201">
        <v>-1049</v>
      </c>
      <c r="T69" s="201">
        <v>-303</v>
      </c>
      <c r="U69" s="201">
        <v>-5150</v>
      </c>
      <c r="V69" s="201">
        <v>-27630</v>
      </c>
      <c r="W69" s="201">
        <v>-18332</v>
      </c>
      <c r="X69" s="201">
        <v>-9340</v>
      </c>
    </row>
    <row r="70" spans="1:24" s="96" customFormat="1" ht="27" customHeight="1" x14ac:dyDescent="0.25">
      <c r="A70"/>
      <c r="B70" s="25" t="s">
        <v>473</v>
      </c>
      <c r="C70" s="201">
        <v>-282248</v>
      </c>
      <c r="D70" s="201">
        <v>-67680</v>
      </c>
      <c r="E70" s="201">
        <v>-600840</v>
      </c>
      <c r="F70" s="201">
        <v>-411944</v>
      </c>
      <c r="G70" s="201">
        <v>-290606</v>
      </c>
      <c r="H70" s="201">
        <v>-199756</v>
      </c>
      <c r="I70" s="201">
        <v>-704169</v>
      </c>
      <c r="J70" s="201">
        <v>-648587</v>
      </c>
      <c r="K70" s="201">
        <v>-587594</v>
      </c>
      <c r="L70" s="201">
        <v>-57686</v>
      </c>
      <c r="M70" s="201">
        <v>-500408</v>
      </c>
      <c r="N70" s="201">
        <v>-456653</v>
      </c>
      <c r="O70" s="201">
        <v>-254006</v>
      </c>
      <c r="P70" s="201">
        <v>-30986</v>
      </c>
      <c r="Q70" s="201">
        <v>-240339</v>
      </c>
      <c r="R70" s="201">
        <v>-221502</v>
      </c>
      <c r="S70" s="201">
        <v>-210325</v>
      </c>
      <c r="T70" s="201">
        <v>-149176</v>
      </c>
      <c r="U70" s="201">
        <v>-1767409</v>
      </c>
      <c r="V70" s="201">
        <v>-1525181</v>
      </c>
      <c r="W70" s="201">
        <v>-459345</v>
      </c>
      <c r="X70" s="201">
        <v>-357981</v>
      </c>
    </row>
    <row r="71" spans="1:24" ht="27" customHeight="1" x14ac:dyDescent="0.25">
      <c r="B71" s="25" t="s">
        <v>531</v>
      </c>
      <c r="C71" s="201">
        <v>-6524</v>
      </c>
      <c r="D71" s="201"/>
      <c r="E71" s="201">
        <v>24388</v>
      </c>
      <c r="F71" s="201">
        <v>172669</v>
      </c>
      <c r="G71" s="201">
        <v>172668</v>
      </c>
      <c r="H71" s="201"/>
      <c r="I71" s="201">
        <v>129122</v>
      </c>
      <c r="J71" s="201">
        <v>156184</v>
      </c>
      <c r="K71" s="201">
        <v>-35505</v>
      </c>
      <c r="L71" s="201"/>
      <c r="M71" s="201">
        <v>1021776</v>
      </c>
      <c r="N71" s="201">
        <v>912342</v>
      </c>
      <c r="O71" s="201">
        <v>888642</v>
      </c>
      <c r="P71" s="201"/>
      <c r="Q71" s="201">
        <v>461375</v>
      </c>
      <c r="R71" s="201">
        <v>177086</v>
      </c>
      <c r="S71" s="201">
        <v>177086</v>
      </c>
      <c r="T71" s="201"/>
      <c r="U71" s="201">
        <v>100107</v>
      </c>
      <c r="V71" s="201">
        <v>34138</v>
      </c>
      <c r="W71" s="201">
        <v>34138</v>
      </c>
      <c r="X71" s="201"/>
    </row>
    <row r="72" spans="1:24" ht="27" customHeight="1" x14ac:dyDescent="0.25">
      <c r="B72" s="25" t="s">
        <v>474</v>
      </c>
      <c r="C72" s="201">
        <v>2920775</v>
      </c>
      <c r="D72" s="201">
        <v>1639400</v>
      </c>
      <c r="E72" s="201">
        <v>6644278</v>
      </c>
      <c r="F72" s="201">
        <f>SUM(F66:F71)</f>
        <v>4766576</v>
      </c>
      <c r="G72" s="201">
        <f t="shared" ref="G72:X72" si="0">SUM(G66:G71)</f>
        <v>2735789</v>
      </c>
      <c r="H72" s="201">
        <v>954563</v>
      </c>
      <c r="I72" s="201">
        <f>SUM(I66:I71)</f>
        <v>6544402</v>
      </c>
      <c r="J72" s="201">
        <f t="shared" si="0"/>
        <v>5570916</v>
      </c>
      <c r="K72" s="201">
        <f t="shared" si="0"/>
        <v>3004155</v>
      </c>
      <c r="L72" s="201">
        <f t="shared" si="0"/>
        <v>976972</v>
      </c>
      <c r="M72" s="201">
        <f t="shared" si="0"/>
        <v>3683357</v>
      </c>
      <c r="N72" s="201">
        <f t="shared" si="0"/>
        <v>3060135</v>
      </c>
      <c r="O72" s="201">
        <f t="shared" si="0"/>
        <v>2923033</v>
      </c>
      <c r="P72" s="201">
        <f t="shared" si="0"/>
        <v>765034</v>
      </c>
      <c r="Q72" s="201">
        <f t="shared" si="0"/>
        <v>8609107</v>
      </c>
      <c r="R72" s="201">
        <f t="shared" si="0"/>
        <v>6832994</v>
      </c>
      <c r="S72" s="201">
        <f t="shared" si="0"/>
        <v>4206808</v>
      </c>
      <c r="T72" s="201">
        <f t="shared" si="0"/>
        <v>2475059</v>
      </c>
      <c r="U72" s="201">
        <f t="shared" si="0"/>
        <v>2261012</v>
      </c>
      <c r="V72" s="201">
        <f t="shared" si="0"/>
        <v>1373276</v>
      </c>
      <c r="W72" s="201">
        <f t="shared" si="0"/>
        <v>1083269</v>
      </c>
      <c r="X72" s="201">
        <f t="shared" si="0"/>
        <v>616004</v>
      </c>
    </row>
    <row r="73" spans="1:24" ht="27" customHeight="1" x14ac:dyDescent="0.25">
      <c r="B73" s="25" t="s">
        <v>475</v>
      </c>
      <c r="C73" s="201">
        <v>0</v>
      </c>
      <c r="D73" s="201">
        <v>0</v>
      </c>
      <c r="E73" s="201" t="s">
        <v>5</v>
      </c>
      <c r="F73" s="201"/>
      <c r="G73" s="201"/>
      <c r="H73" s="201">
        <v>0</v>
      </c>
      <c r="I73" s="201" t="s">
        <v>5</v>
      </c>
      <c r="J73" s="201" t="s">
        <v>5</v>
      </c>
      <c r="K73" s="201" t="s">
        <v>5</v>
      </c>
      <c r="L73" s="201" t="s">
        <v>5</v>
      </c>
      <c r="M73" s="201" t="s">
        <v>5</v>
      </c>
      <c r="N73" s="201" t="s">
        <v>5</v>
      </c>
      <c r="O73" s="201" t="s">
        <v>5</v>
      </c>
      <c r="P73" s="201" t="s">
        <v>5</v>
      </c>
      <c r="Q73" s="201" t="s">
        <v>5</v>
      </c>
      <c r="R73" s="201" t="s">
        <v>5</v>
      </c>
      <c r="S73" s="201" t="s">
        <v>5</v>
      </c>
      <c r="T73" s="201" t="s">
        <v>5</v>
      </c>
      <c r="U73" s="201">
        <v>-224067</v>
      </c>
      <c r="V73" s="201">
        <v>-224067</v>
      </c>
      <c r="W73" s="201" t="s">
        <v>5</v>
      </c>
      <c r="X73" s="201" t="s">
        <v>5</v>
      </c>
    </row>
    <row r="74" spans="1:24" ht="27" customHeight="1" x14ac:dyDescent="0.25">
      <c r="B74" s="27" t="s">
        <v>476</v>
      </c>
      <c r="C74" s="200">
        <v>2920775</v>
      </c>
      <c r="D74" s="200">
        <v>1639400</v>
      </c>
      <c r="E74" s="200">
        <f>E72</f>
        <v>6644278</v>
      </c>
      <c r="F74" s="200">
        <v>4766576</v>
      </c>
      <c r="G74" s="200">
        <v>2735789</v>
      </c>
      <c r="H74" s="200">
        <v>954563</v>
      </c>
      <c r="I74" s="200">
        <f>I72</f>
        <v>6544402</v>
      </c>
      <c r="J74" s="200">
        <v>5570916</v>
      </c>
      <c r="K74" s="200">
        <v>3004155</v>
      </c>
      <c r="L74" s="200">
        <v>976972</v>
      </c>
      <c r="M74" s="200">
        <v>3683357</v>
      </c>
      <c r="N74" s="200">
        <v>3060135</v>
      </c>
      <c r="O74" s="200">
        <v>2923033</v>
      </c>
      <c r="P74" s="200">
        <v>765034</v>
      </c>
      <c r="Q74" s="200">
        <v>8609107</v>
      </c>
      <c r="R74" s="200">
        <v>6832994</v>
      </c>
      <c r="S74" s="200">
        <v>4206808</v>
      </c>
      <c r="T74" s="200">
        <v>2475059</v>
      </c>
      <c r="U74" s="200">
        <v>2036945</v>
      </c>
      <c r="V74" s="200">
        <v>1149209</v>
      </c>
      <c r="W74" s="200">
        <v>1083269</v>
      </c>
      <c r="X74" s="200">
        <v>616004</v>
      </c>
    </row>
    <row r="75" spans="1:24" ht="27" customHeight="1" x14ac:dyDescent="0.25">
      <c r="B75" s="27"/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</row>
    <row r="76" spans="1:24" ht="27" customHeight="1" x14ac:dyDescent="0.25">
      <c r="B76" s="27" t="s">
        <v>477</v>
      </c>
      <c r="C76" s="200"/>
      <c r="D76" s="200"/>
      <c r="E76" s="200"/>
      <c r="F76" s="200"/>
      <c r="G76" s="200"/>
      <c r="H76" s="200"/>
      <c r="I76" s="200"/>
      <c r="J76" s="200"/>
      <c r="K76" s="200"/>
      <c r="L76" s="200"/>
      <c r="M76" s="200"/>
      <c r="N76" s="200"/>
      <c r="O76" s="200"/>
      <c r="P76" s="200"/>
      <c r="Q76" s="200"/>
      <c r="R76" s="200"/>
      <c r="S76" s="200"/>
      <c r="T76" s="200"/>
      <c r="U76" s="200"/>
      <c r="V76" s="200"/>
      <c r="W76" s="200"/>
      <c r="X76" s="200"/>
    </row>
    <row r="77" spans="1:24" ht="27" customHeight="1" x14ac:dyDescent="0.25">
      <c r="B77" s="25" t="s">
        <v>532</v>
      </c>
      <c r="C77" s="201">
        <v>-6275493</v>
      </c>
      <c r="D77" s="201">
        <v>-4385619</v>
      </c>
      <c r="E77" s="201">
        <v>-11237620</v>
      </c>
      <c r="F77" s="201">
        <v>65785</v>
      </c>
      <c r="G77" s="201">
        <v>196392</v>
      </c>
      <c r="H77" s="201">
        <v>-3123000</v>
      </c>
      <c r="I77" s="201">
        <v>-14152001</v>
      </c>
      <c r="J77" s="201">
        <v>-835890</v>
      </c>
      <c r="K77" s="201">
        <v>153206</v>
      </c>
      <c r="L77" s="201">
        <v>911957</v>
      </c>
      <c r="M77" s="201">
        <v>2047952</v>
      </c>
      <c r="N77" s="201">
        <v>1097584</v>
      </c>
      <c r="O77" s="201">
        <v>-211416</v>
      </c>
      <c r="P77" s="201">
        <v>1276371</v>
      </c>
      <c r="Q77" s="201">
        <v>-3368351</v>
      </c>
      <c r="R77" s="201">
        <v>-3341925</v>
      </c>
      <c r="S77" s="201">
        <v>-1985217</v>
      </c>
      <c r="T77" s="201">
        <v>-893948</v>
      </c>
      <c r="U77" s="201">
        <v>79030</v>
      </c>
      <c r="V77" s="201">
        <v>-43316</v>
      </c>
      <c r="W77" s="201">
        <v>140292</v>
      </c>
      <c r="X77" s="201">
        <v>225171</v>
      </c>
    </row>
    <row r="78" spans="1:24" ht="27" customHeight="1" x14ac:dyDescent="0.25">
      <c r="B78" s="25" t="s">
        <v>541</v>
      </c>
      <c r="C78" s="201">
        <v>5654766</v>
      </c>
      <c r="D78" s="201">
        <v>2788073</v>
      </c>
      <c r="E78" s="201">
        <v>12360112</v>
      </c>
      <c r="F78" s="201"/>
      <c r="G78" s="201"/>
      <c r="H78" s="201">
        <v>3509777</v>
      </c>
      <c r="I78" s="201">
        <v>14420323</v>
      </c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</row>
    <row r="79" spans="1:24" ht="27" customHeight="1" x14ac:dyDescent="0.25">
      <c r="B79" s="318" t="s">
        <v>479</v>
      </c>
      <c r="C79" s="201">
        <v>-16358</v>
      </c>
      <c r="D79" s="201">
        <v>-656</v>
      </c>
      <c r="E79" s="201">
        <v>-36533</v>
      </c>
      <c r="F79" s="201">
        <v>-36532</v>
      </c>
      <c r="G79" s="201">
        <v>-6300</v>
      </c>
      <c r="H79" s="201">
        <v>-6300</v>
      </c>
      <c r="I79" s="201">
        <v>-52301</v>
      </c>
      <c r="J79" s="201">
        <v>-27469</v>
      </c>
      <c r="K79" s="201">
        <v>-282</v>
      </c>
      <c r="L79" s="201" t="s">
        <v>5</v>
      </c>
      <c r="M79" s="201">
        <v>-56317</v>
      </c>
      <c r="N79" s="201">
        <v>-15338</v>
      </c>
      <c r="O79" s="201">
        <v>-14711</v>
      </c>
      <c r="P79" s="201">
        <v>-12558</v>
      </c>
      <c r="Q79" s="201">
        <v>-120320</v>
      </c>
      <c r="R79" s="201">
        <v>-64355</v>
      </c>
      <c r="S79" s="201">
        <v>-44850</v>
      </c>
      <c r="T79" s="201">
        <v>-44775</v>
      </c>
      <c r="U79" s="201">
        <v>-38265</v>
      </c>
      <c r="V79" s="201">
        <v>-29049</v>
      </c>
      <c r="W79" s="201">
        <v>-1028</v>
      </c>
      <c r="X79" s="201"/>
    </row>
    <row r="80" spans="1:24" ht="27" customHeight="1" x14ac:dyDescent="0.25">
      <c r="B80" s="318" t="s">
        <v>546</v>
      </c>
      <c r="C80" s="201">
        <v>0</v>
      </c>
      <c r="D80" s="201" t="s">
        <v>5</v>
      </c>
      <c r="E80" s="201">
        <f>669220-E81</f>
        <v>638733</v>
      </c>
      <c r="F80" s="201">
        <v>0</v>
      </c>
      <c r="G80" s="201">
        <v>0</v>
      </c>
      <c r="H80" s="201">
        <v>0</v>
      </c>
      <c r="I80" s="201">
        <v>51512</v>
      </c>
      <c r="J80" s="201">
        <v>6644</v>
      </c>
      <c r="K80" s="201">
        <v>6644</v>
      </c>
      <c r="L80" s="201" t="s">
        <v>5</v>
      </c>
      <c r="M80" s="201">
        <v>1366592</v>
      </c>
      <c r="N80" s="201">
        <v>1366592</v>
      </c>
      <c r="O80" s="201">
        <v>1366661</v>
      </c>
      <c r="P80" s="201">
        <v>1366592</v>
      </c>
      <c r="Q80" s="201"/>
      <c r="R80" s="201"/>
      <c r="S80" s="201"/>
      <c r="T80" s="201"/>
      <c r="U80" s="201"/>
      <c r="V80" s="201"/>
      <c r="W80" s="201"/>
      <c r="X80" s="201"/>
    </row>
    <row r="81" spans="2:24" ht="27" customHeight="1" x14ac:dyDescent="0.25">
      <c r="B81" s="318" t="s">
        <v>558</v>
      </c>
      <c r="C81" s="201">
        <v>100887</v>
      </c>
      <c r="D81" s="201">
        <v>100887</v>
      </c>
      <c r="E81" s="201">
        <v>30487</v>
      </c>
      <c r="F81" s="201">
        <v>30487</v>
      </c>
      <c r="G81" s="201">
        <v>30487</v>
      </c>
      <c r="H81" s="201">
        <v>30487</v>
      </c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</row>
    <row r="82" spans="2:24" ht="27" customHeight="1" x14ac:dyDescent="0.25">
      <c r="B82" s="318" t="s">
        <v>557</v>
      </c>
      <c r="C82" s="201">
        <v>47932</v>
      </c>
      <c r="D82" s="201">
        <v>46476</v>
      </c>
      <c r="E82" s="201"/>
      <c r="F82" s="201"/>
      <c r="G82" s="201"/>
      <c r="H82" s="201" t="s">
        <v>5</v>
      </c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</row>
    <row r="83" spans="2:24" ht="27" customHeight="1" x14ac:dyDescent="0.25">
      <c r="B83" s="318" t="s">
        <v>480</v>
      </c>
      <c r="C83" s="201" t="s">
        <v>5</v>
      </c>
      <c r="D83" s="201">
        <v>0</v>
      </c>
      <c r="E83" s="201">
        <v>-780348</v>
      </c>
      <c r="F83" s="201">
        <v>-780348</v>
      </c>
      <c r="G83" s="201">
        <v>-780348</v>
      </c>
      <c r="H83" s="201">
        <v>0</v>
      </c>
      <c r="I83" s="201">
        <v>0</v>
      </c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</row>
    <row r="84" spans="2:24" ht="27" customHeight="1" x14ac:dyDescent="0.25">
      <c r="B84" s="25" t="s">
        <v>478</v>
      </c>
      <c r="C84" s="201"/>
      <c r="D84" s="201">
        <v>0</v>
      </c>
      <c r="E84" s="201" t="s">
        <v>5</v>
      </c>
      <c r="F84" s="201"/>
      <c r="G84" s="201" t="s">
        <v>5</v>
      </c>
      <c r="H84" s="201">
        <v>0</v>
      </c>
      <c r="I84" s="201" t="s">
        <v>5</v>
      </c>
      <c r="J84" s="201" t="s">
        <v>5</v>
      </c>
      <c r="K84" s="201">
        <v>5366</v>
      </c>
      <c r="L84" s="201">
        <v>-10502</v>
      </c>
      <c r="M84" s="201">
        <v>44479</v>
      </c>
      <c r="N84" s="201">
        <v>20802</v>
      </c>
      <c r="O84" s="201">
        <v>-11342</v>
      </c>
      <c r="P84" s="201">
        <v>226</v>
      </c>
      <c r="Q84" s="201">
        <v>-51337</v>
      </c>
      <c r="R84" s="201">
        <v>-35810</v>
      </c>
      <c r="S84" s="201">
        <v>-3413</v>
      </c>
      <c r="T84" s="201">
        <v>-10397</v>
      </c>
      <c r="U84" s="201">
        <v>78656</v>
      </c>
      <c r="V84" s="201">
        <v>75184</v>
      </c>
      <c r="W84" s="201">
        <v>-9943</v>
      </c>
      <c r="X84" s="201"/>
    </row>
    <row r="85" spans="2:24" ht="27" customHeight="1" x14ac:dyDescent="0.25">
      <c r="B85" s="25" t="s">
        <v>481</v>
      </c>
      <c r="C85" s="201"/>
      <c r="D85" s="201">
        <v>0</v>
      </c>
      <c r="E85" s="201" t="s">
        <v>5</v>
      </c>
      <c r="F85" s="201"/>
      <c r="G85" s="201"/>
      <c r="H85" s="201">
        <v>0</v>
      </c>
      <c r="I85" s="201" t="s">
        <v>5</v>
      </c>
      <c r="J85" s="201" t="s">
        <v>5</v>
      </c>
      <c r="K85" s="201"/>
      <c r="L85" s="201"/>
      <c r="M85" s="201">
        <v>155</v>
      </c>
      <c r="N85" s="201"/>
      <c r="O85" s="201"/>
      <c r="P85" s="201"/>
      <c r="Q85" s="201">
        <v>27110</v>
      </c>
      <c r="R85" s="201">
        <v>27110</v>
      </c>
      <c r="S85" s="201">
        <v>27110</v>
      </c>
      <c r="T85" s="201">
        <v>27110</v>
      </c>
      <c r="U85" s="201"/>
      <c r="V85" s="201"/>
      <c r="W85" s="201"/>
      <c r="X85" s="201"/>
    </row>
    <row r="86" spans="2:24" ht="27" customHeight="1" x14ac:dyDescent="0.25">
      <c r="B86" s="25" t="s">
        <v>482</v>
      </c>
      <c r="C86" s="201"/>
      <c r="D86" s="201">
        <v>0</v>
      </c>
      <c r="E86" s="201" t="s">
        <v>5</v>
      </c>
      <c r="F86" s="201"/>
      <c r="G86" s="201"/>
      <c r="H86" s="201">
        <v>0</v>
      </c>
      <c r="I86" s="201" t="s">
        <v>5</v>
      </c>
      <c r="J86" s="201" t="s">
        <v>5</v>
      </c>
      <c r="K86" s="201"/>
      <c r="L86" s="201"/>
      <c r="M86" s="201"/>
      <c r="N86" s="201"/>
      <c r="O86" s="201"/>
      <c r="P86" s="201"/>
      <c r="Q86" s="201">
        <v>-26500</v>
      </c>
      <c r="R86" s="201">
        <v>-26500</v>
      </c>
      <c r="S86" s="201">
        <v>-26500</v>
      </c>
      <c r="T86" s="201">
        <v>-26500</v>
      </c>
      <c r="U86" s="201">
        <v>-6418</v>
      </c>
      <c r="V86" s="201"/>
      <c r="W86" s="201"/>
      <c r="X86" s="201"/>
    </row>
    <row r="87" spans="2:24" ht="27" customHeight="1" x14ac:dyDescent="0.25">
      <c r="B87" s="25" t="s">
        <v>483</v>
      </c>
      <c r="C87" s="201">
        <v>-275146</v>
      </c>
      <c r="D87" s="201">
        <v>-152620</v>
      </c>
      <c r="E87" s="201">
        <v>-1075890</v>
      </c>
      <c r="F87" s="201">
        <v>-733509</v>
      </c>
      <c r="G87" s="201">
        <v>-338980</v>
      </c>
      <c r="H87" s="201">
        <v>-93295</v>
      </c>
      <c r="I87" s="201">
        <v>-173410</v>
      </c>
      <c r="J87" s="201">
        <v>-121502</v>
      </c>
      <c r="K87" s="201">
        <v>-46977</v>
      </c>
      <c r="L87" s="201">
        <v>-12181</v>
      </c>
      <c r="M87" s="201">
        <v>-182518</v>
      </c>
      <c r="N87" s="201">
        <v>-104901</v>
      </c>
      <c r="O87" s="201">
        <v>-71924</v>
      </c>
      <c r="P87" s="201">
        <v>-27791</v>
      </c>
      <c r="Q87" s="201">
        <v>-133045</v>
      </c>
      <c r="R87" s="201">
        <v>-94684</v>
      </c>
      <c r="S87" s="201">
        <v>-63225</v>
      </c>
      <c r="T87" s="201">
        <v>-25158</v>
      </c>
      <c r="U87" s="201">
        <v>-70390</v>
      </c>
      <c r="V87" s="201">
        <v>-45204</v>
      </c>
      <c r="W87" s="201">
        <v>-34414</v>
      </c>
      <c r="X87" s="201">
        <v>-6125</v>
      </c>
    </row>
    <row r="88" spans="2:24" ht="27" customHeight="1" x14ac:dyDescent="0.25">
      <c r="B88" s="25" t="s">
        <v>484</v>
      </c>
      <c r="C88" s="201">
        <v>-116213</v>
      </c>
      <c r="D88" s="201">
        <v>-40735</v>
      </c>
      <c r="E88" s="201">
        <v>-187649</v>
      </c>
      <c r="F88" s="201">
        <v>-95977</v>
      </c>
      <c r="G88" s="201">
        <v>-61873</v>
      </c>
      <c r="H88" s="201">
        <v>-27222</v>
      </c>
      <c r="I88" s="201">
        <v>-119115</v>
      </c>
      <c r="J88" s="201">
        <v>-63602</v>
      </c>
      <c r="K88" s="201">
        <v>-27270</v>
      </c>
      <c r="L88" s="201">
        <v>-14775</v>
      </c>
      <c r="M88" s="201">
        <v>-50849</v>
      </c>
      <c r="N88" s="201">
        <v>-23009</v>
      </c>
      <c r="O88" s="201">
        <v>-16461</v>
      </c>
      <c r="P88" s="201">
        <v>-9076</v>
      </c>
      <c r="Q88" s="201">
        <v>-40980</v>
      </c>
      <c r="R88" s="201">
        <v>-28474</v>
      </c>
      <c r="S88" s="201">
        <v>-13514</v>
      </c>
      <c r="T88" s="201">
        <v>-3102</v>
      </c>
      <c r="U88" s="201">
        <v>-931644</v>
      </c>
      <c r="V88" s="201">
        <v>-914586</v>
      </c>
      <c r="W88" s="201">
        <v>-14677</v>
      </c>
      <c r="X88" s="201">
        <v>-6290</v>
      </c>
    </row>
    <row r="89" spans="2:24" ht="27" customHeight="1" x14ac:dyDescent="0.25">
      <c r="B89" s="25" t="s">
        <v>485</v>
      </c>
      <c r="C89" s="201">
        <v>-1910406</v>
      </c>
      <c r="D89" s="201">
        <v>-842182</v>
      </c>
      <c r="E89" s="201">
        <v>-3678536</v>
      </c>
      <c r="F89" s="201">
        <v>-2605573</v>
      </c>
      <c r="G89" s="201">
        <v>-1509774</v>
      </c>
      <c r="H89" s="201">
        <v>-641225</v>
      </c>
      <c r="I89" s="201">
        <v>-3112423</v>
      </c>
      <c r="J89" s="201">
        <v>-2127312</v>
      </c>
      <c r="K89" s="201">
        <v>-1094157</v>
      </c>
      <c r="L89" s="201">
        <v>-418905</v>
      </c>
      <c r="M89" s="201">
        <v>-1798296</v>
      </c>
      <c r="N89" s="201">
        <v>-1216244</v>
      </c>
      <c r="O89" s="201">
        <v>-714542</v>
      </c>
      <c r="P89" s="201">
        <v>-317395</v>
      </c>
      <c r="Q89" s="201">
        <v>-1363564</v>
      </c>
      <c r="R89" s="201">
        <v>-957164</v>
      </c>
      <c r="S89" s="201">
        <v>-574678</v>
      </c>
      <c r="T89" s="201">
        <v>-243336</v>
      </c>
      <c r="U89" s="201">
        <v>-924664</v>
      </c>
      <c r="V89" s="201">
        <v>-612028</v>
      </c>
      <c r="W89" s="201">
        <v>-345997</v>
      </c>
      <c r="X89" s="201">
        <v>-152341</v>
      </c>
    </row>
    <row r="90" spans="2:24" ht="27" customHeight="1" x14ac:dyDescent="0.25">
      <c r="B90" s="25" t="s">
        <v>486</v>
      </c>
      <c r="C90" s="201">
        <v>-2790031</v>
      </c>
      <c r="D90" s="201">
        <v>-2486376</v>
      </c>
      <c r="E90" s="201">
        <v>-3967244</v>
      </c>
      <c r="F90" s="201">
        <f>SUM(F77:F89)</f>
        <v>-4155667</v>
      </c>
      <c r="G90" s="201">
        <f>SUM(G77:G89)</f>
        <v>-2470396</v>
      </c>
      <c r="H90" s="201">
        <v>-350778</v>
      </c>
      <c r="I90" s="201">
        <v>-3137415</v>
      </c>
      <c r="J90" s="201">
        <f t="shared" ref="J90:X90" si="1">SUM(J77:J89)</f>
        <v>-3169131</v>
      </c>
      <c r="K90" s="201">
        <f t="shared" si="1"/>
        <v>-1003470</v>
      </c>
      <c r="L90" s="201">
        <f t="shared" si="1"/>
        <v>455594</v>
      </c>
      <c r="M90" s="201">
        <f t="shared" si="1"/>
        <v>1371198</v>
      </c>
      <c r="N90" s="201">
        <f t="shared" si="1"/>
        <v>1125486</v>
      </c>
      <c r="O90" s="201">
        <f t="shared" si="1"/>
        <v>326265</v>
      </c>
      <c r="P90" s="201">
        <f t="shared" si="1"/>
        <v>2276369</v>
      </c>
      <c r="Q90" s="201">
        <f t="shared" si="1"/>
        <v>-5076987</v>
      </c>
      <c r="R90" s="201">
        <f t="shared" si="1"/>
        <v>-4521802</v>
      </c>
      <c r="S90" s="201">
        <f t="shared" si="1"/>
        <v>-2684287</v>
      </c>
      <c r="T90" s="201">
        <f t="shared" si="1"/>
        <v>-1220106</v>
      </c>
      <c r="U90" s="201">
        <f t="shared" si="1"/>
        <v>-1813695</v>
      </c>
      <c r="V90" s="201">
        <f t="shared" si="1"/>
        <v>-1568999</v>
      </c>
      <c r="W90" s="201">
        <f t="shared" si="1"/>
        <v>-265767</v>
      </c>
      <c r="X90" s="201">
        <f t="shared" si="1"/>
        <v>60415</v>
      </c>
    </row>
    <row r="91" spans="2:24" ht="27" customHeight="1" x14ac:dyDescent="0.25">
      <c r="B91" s="25" t="s">
        <v>487</v>
      </c>
      <c r="C91" s="201"/>
      <c r="D91" s="201">
        <v>0</v>
      </c>
      <c r="E91" s="201" t="s">
        <v>5</v>
      </c>
      <c r="F91" s="201"/>
      <c r="G91" s="201"/>
      <c r="H91" s="201">
        <v>0</v>
      </c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>
        <v>625000</v>
      </c>
      <c r="V91" s="201">
        <v>625000</v>
      </c>
      <c r="W91" s="201"/>
      <c r="X91" s="201"/>
    </row>
    <row r="92" spans="2:24" ht="27" customHeight="1" x14ac:dyDescent="0.25">
      <c r="B92" s="27" t="s">
        <v>488</v>
      </c>
      <c r="C92" s="200">
        <v>-2790031</v>
      </c>
      <c r="D92" s="200">
        <v>-2486376</v>
      </c>
      <c r="E92" s="200">
        <f>E90</f>
        <v>-3967244</v>
      </c>
      <c r="F92" s="200">
        <v>-4155667</v>
      </c>
      <c r="G92" s="200">
        <v>-2470396</v>
      </c>
      <c r="H92" s="200">
        <v>-350778</v>
      </c>
      <c r="I92" s="200">
        <f>I90</f>
        <v>-3137415</v>
      </c>
      <c r="J92" s="200">
        <v>-3169131</v>
      </c>
      <c r="K92" s="200">
        <v>-1003470</v>
      </c>
      <c r="L92" s="200">
        <v>455594</v>
      </c>
      <c r="M92" s="200">
        <v>1371198</v>
      </c>
      <c r="N92" s="200">
        <v>1125486</v>
      </c>
      <c r="O92" s="200">
        <v>326265</v>
      </c>
      <c r="P92" s="200">
        <v>2276369</v>
      </c>
      <c r="Q92" s="200">
        <v>-5076987</v>
      </c>
      <c r="R92" s="200">
        <v>-4521802</v>
      </c>
      <c r="S92" s="200">
        <v>-2684287</v>
      </c>
      <c r="T92" s="200">
        <v>-1220106</v>
      </c>
      <c r="U92" s="200">
        <v>-1188695</v>
      </c>
      <c r="V92" s="200">
        <v>-943999</v>
      </c>
      <c r="W92" s="200">
        <v>-265767</v>
      </c>
      <c r="X92" s="200">
        <v>60415</v>
      </c>
    </row>
    <row r="93" spans="2:24" ht="27" customHeight="1" x14ac:dyDescent="0.25">
      <c r="B93" s="25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</row>
    <row r="94" spans="2:24" ht="27" customHeight="1" x14ac:dyDescent="0.25">
      <c r="B94" s="27" t="s">
        <v>489</v>
      </c>
      <c r="C94" s="200"/>
      <c r="D94" s="200"/>
      <c r="E94" s="200"/>
      <c r="F94" s="200"/>
      <c r="G94" s="200"/>
      <c r="H94" s="200"/>
      <c r="I94" s="200"/>
      <c r="J94" s="200"/>
      <c r="K94" s="200"/>
      <c r="L94" s="200"/>
      <c r="M94" s="200"/>
      <c r="N94" s="200"/>
      <c r="O94" s="200"/>
      <c r="P94" s="200"/>
      <c r="Q94" s="200"/>
      <c r="R94" s="200"/>
      <c r="S94" s="200"/>
      <c r="T94" s="200"/>
      <c r="U94" s="200"/>
      <c r="V94" s="200"/>
      <c r="W94" s="200"/>
      <c r="X94" s="200"/>
    </row>
    <row r="95" spans="2:24" ht="27" customHeight="1" x14ac:dyDescent="0.25">
      <c r="B95" s="25" t="s">
        <v>534</v>
      </c>
      <c r="C95" s="201">
        <v>1946302</v>
      </c>
      <c r="D95" s="201">
        <v>1946302</v>
      </c>
      <c r="E95" s="201">
        <v>1987943</v>
      </c>
      <c r="F95" s="201">
        <v>1987943</v>
      </c>
      <c r="G95" s="201">
        <v>1988311</v>
      </c>
      <c r="H95" s="201" t="s">
        <v>5</v>
      </c>
      <c r="I95" s="201">
        <v>1981390</v>
      </c>
      <c r="J95" s="201">
        <v>987534</v>
      </c>
      <c r="K95" s="201">
        <v>987575</v>
      </c>
      <c r="L95" s="201"/>
      <c r="M95" s="201">
        <v>13406</v>
      </c>
      <c r="N95" s="201"/>
      <c r="O95" s="201"/>
      <c r="P95" s="201"/>
      <c r="Q95" s="201">
        <v>825562</v>
      </c>
      <c r="R95" s="201">
        <v>825375</v>
      </c>
      <c r="S95" s="201"/>
      <c r="T95" s="201"/>
      <c r="U95" s="201">
        <v>4476722</v>
      </c>
      <c r="V95" s="201">
        <v>4476722</v>
      </c>
      <c r="W95" s="201"/>
      <c r="X95" s="201"/>
    </row>
    <row r="96" spans="2:24" ht="27" customHeight="1" x14ac:dyDescent="0.25">
      <c r="B96" s="25" t="s">
        <v>490</v>
      </c>
      <c r="C96" s="201">
        <v>-1437823</v>
      </c>
      <c r="D96" s="201">
        <v>0</v>
      </c>
      <c r="E96" s="201">
        <v>-1823019</v>
      </c>
      <c r="F96" s="201">
        <v>-912093</v>
      </c>
      <c r="G96" s="201">
        <v>-912093</v>
      </c>
      <c r="H96" s="201">
        <v>0</v>
      </c>
      <c r="I96" s="201">
        <v>-2093907</v>
      </c>
      <c r="J96" s="201">
        <v>-1034686</v>
      </c>
      <c r="K96" s="201">
        <v>-935676</v>
      </c>
      <c r="L96" s="201"/>
      <c r="M96" s="201">
        <v>-1416333</v>
      </c>
      <c r="N96" s="201">
        <v>-701655</v>
      </c>
      <c r="O96" s="201">
        <v>-700998</v>
      </c>
      <c r="P96" s="201">
        <v>-5</v>
      </c>
      <c r="Q96" s="201">
        <v>-598135</v>
      </c>
      <c r="R96" s="201">
        <v>-170</v>
      </c>
      <c r="S96" s="201">
        <v>-147</v>
      </c>
      <c r="T96" s="201">
        <v>-120</v>
      </c>
      <c r="U96" s="201">
        <v>-701137</v>
      </c>
      <c r="V96" s="201">
        <v>-78974</v>
      </c>
      <c r="W96" s="201">
        <v>-78707</v>
      </c>
      <c r="X96" s="201">
        <v>-2066</v>
      </c>
    </row>
    <row r="97" spans="2:24" ht="27" customHeight="1" x14ac:dyDescent="0.25">
      <c r="B97" s="25" t="s">
        <v>533</v>
      </c>
      <c r="C97" s="201">
        <v>-575916</v>
      </c>
      <c r="D97" s="201">
        <v>-440917</v>
      </c>
      <c r="E97" s="201">
        <v>-2678503</v>
      </c>
      <c r="F97" s="201">
        <v>-719848</v>
      </c>
      <c r="G97" s="201">
        <v>-564339</v>
      </c>
      <c r="H97" s="201">
        <v>-428532</v>
      </c>
      <c r="I97" s="201">
        <v>-2613340</v>
      </c>
      <c r="J97" s="201">
        <v>-1136489</v>
      </c>
      <c r="K97" s="201">
        <v>-973089</v>
      </c>
      <c r="L97" s="201">
        <v>-829673</v>
      </c>
      <c r="M97" s="201">
        <v>-4436672</v>
      </c>
      <c r="N97" s="201">
        <v>-4284754</v>
      </c>
      <c r="O97" s="201">
        <v>-1533724</v>
      </c>
      <c r="P97" s="201">
        <v>-1372571</v>
      </c>
      <c r="Q97" s="201">
        <v>-2531026</v>
      </c>
      <c r="R97" s="201">
        <v>-2187264</v>
      </c>
      <c r="S97" s="201">
        <v>-1042496</v>
      </c>
      <c r="T97" s="201">
        <v>-972447</v>
      </c>
      <c r="U97" s="201">
        <v>-4883218</v>
      </c>
      <c r="V97" s="201">
        <v>-4750192</v>
      </c>
      <c r="W97" s="201">
        <v>-849821</v>
      </c>
      <c r="X97" s="201">
        <v>-753603</v>
      </c>
    </row>
    <row r="98" spans="2:24" ht="27" customHeight="1" x14ac:dyDescent="0.25">
      <c r="B98" s="25" t="s">
        <v>491</v>
      </c>
      <c r="C98" s="201">
        <v>-36540</v>
      </c>
      <c r="D98" s="201">
        <v>-18490</v>
      </c>
      <c r="E98" s="201">
        <v>-66634</v>
      </c>
      <c r="F98" s="201">
        <v>-51892</v>
      </c>
      <c r="G98" s="201">
        <v>-35114</v>
      </c>
      <c r="H98" s="201">
        <v>-15736</v>
      </c>
      <c r="I98" s="201">
        <v>-65677</v>
      </c>
      <c r="J98" s="201">
        <v>-52640</v>
      </c>
      <c r="K98" s="201">
        <v>-36922</v>
      </c>
      <c r="L98" s="201">
        <v>-18729</v>
      </c>
      <c r="M98" s="201">
        <v>-70145</v>
      </c>
      <c r="N98" s="201">
        <v>-51825</v>
      </c>
      <c r="O98" s="201">
        <v>-33377</v>
      </c>
      <c r="P98" s="201">
        <v>-16813</v>
      </c>
      <c r="Q98" s="201">
        <v>-83881</v>
      </c>
      <c r="R98" s="201">
        <v>-64139</v>
      </c>
      <c r="S98" s="201">
        <v>-44321</v>
      </c>
      <c r="T98" s="201">
        <v>-22412</v>
      </c>
      <c r="U98" s="201">
        <v>-95664</v>
      </c>
      <c r="V98" s="201">
        <v>-48598</v>
      </c>
      <c r="W98" s="201">
        <v>-31238</v>
      </c>
      <c r="X98" s="201">
        <v>-15113</v>
      </c>
    </row>
    <row r="99" spans="2:24" ht="27" customHeight="1" x14ac:dyDescent="0.25">
      <c r="B99" s="27" t="s">
        <v>492</v>
      </c>
      <c r="C99" s="200">
        <v>-103977</v>
      </c>
      <c r="D99" s="200">
        <v>1486895</v>
      </c>
      <c r="E99" s="200">
        <v>-2580213</v>
      </c>
      <c r="F99" s="200">
        <v>304110</v>
      </c>
      <c r="G99" s="200">
        <v>476765</v>
      </c>
      <c r="H99" s="200">
        <v>-444268</v>
      </c>
      <c r="I99" s="200">
        <v>-2791534</v>
      </c>
      <c r="J99" s="200">
        <v>-1236281</v>
      </c>
      <c r="K99" s="200">
        <v>-958112</v>
      </c>
      <c r="L99" s="200">
        <v>-848402</v>
      </c>
      <c r="M99" s="200">
        <v>-5909744</v>
      </c>
      <c r="N99" s="200">
        <v>-5038234</v>
      </c>
      <c r="O99" s="200">
        <v>-2268099</v>
      </c>
      <c r="P99" s="200">
        <v>-1389389</v>
      </c>
      <c r="Q99" s="200">
        <v>-2387480</v>
      </c>
      <c r="R99" s="200">
        <v>-1426198</v>
      </c>
      <c r="S99" s="200">
        <v>-1086964</v>
      </c>
      <c r="T99" s="200">
        <v>-994979</v>
      </c>
      <c r="U99" s="200">
        <v>-1203297</v>
      </c>
      <c r="V99" s="200">
        <v>-401042</v>
      </c>
      <c r="W99" s="200">
        <v>-959766</v>
      </c>
      <c r="X99" s="200">
        <v>-770782</v>
      </c>
    </row>
    <row r="100" spans="2:24" ht="27" customHeight="1" x14ac:dyDescent="0.25">
      <c r="B100" s="27" t="s">
        <v>493</v>
      </c>
      <c r="C100" s="200">
        <v>26767</v>
      </c>
      <c r="D100" s="200">
        <v>639919</v>
      </c>
      <c r="E100" s="200">
        <v>96821</v>
      </c>
      <c r="F100" s="200">
        <v>915019</v>
      </c>
      <c r="G100" s="200">
        <v>742158</v>
      </c>
      <c r="H100" s="200">
        <v>159517</v>
      </c>
      <c r="I100" s="200">
        <v>615453</v>
      </c>
      <c r="J100" s="200">
        <v>1165504</v>
      </c>
      <c r="K100" s="200">
        <v>1042573</v>
      </c>
      <c r="L100" s="200">
        <v>584164</v>
      </c>
      <c r="M100" s="200">
        <v>-855189</v>
      </c>
      <c r="N100" s="200">
        <v>-852613</v>
      </c>
      <c r="O100" s="200">
        <v>981199</v>
      </c>
      <c r="P100" s="200">
        <v>1652014</v>
      </c>
      <c r="Q100" s="200">
        <v>1144640</v>
      </c>
      <c r="R100" s="200">
        <v>884994</v>
      </c>
      <c r="S100" s="200">
        <v>435557</v>
      </c>
      <c r="T100" s="200">
        <v>259974</v>
      </c>
      <c r="U100" s="200">
        <v>-355047</v>
      </c>
      <c r="V100" s="200">
        <v>-195832</v>
      </c>
      <c r="W100" s="200">
        <v>-142264</v>
      </c>
      <c r="X100" s="200">
        <v>-94363</v>
      </c>
    </row>
    <row r="101" spans="2:24" ht="27" customHeight="1" x14ac:dyDescent="0.25">
      <c r="B101" s="25" t="s">
        <v>494</v>
      </c>
      <c r="C101" s="201">
        <v>1537482</v>
      </c>
      <c r="D101" s="201">
        <v>1537482</v>
      </c>
      <c r="E101" s="201">
        <v>1440661</v>
      </c>
      <c r="F101" s="201">
        <v>1440661</v>
      </c>
      <c r="G101" s="201">
        <v>1440661</v>
      </c>
      <c r="H101" s="201">
        <v>1440661</v>
      </c>
      <c r="I101" s="201">
        <v>825208</v>
      </c>
      <c r="J101" s="201">
        <v>825208</v>
      </c>
      <c r="K101" s="201">
        <v>825208</v>
      </c>
      <c r="L101" s="201">
        <v>825208</v>
      </c>
      <c r="M101" s="201">
        <v>1680397</v>
      </c>
      <c r="N101" s="201">
        <v>1680397</v>
      </c>
      <c r="O101" s="201">
        <v>1680397</v>
      </c>
      <c r="P101" s="201">
        <v>1680397</v>
      </c>
      <c r="Q101" s="201">
        <v>535757</v>
      </c>
      <c r="R101" s="201">
        <v>535757</v>
      </c>
      <c r="S101" s="201">
        <v>535757</v>
      </c>
      <c r="T101" s="201">
        <v>535757</v>
      </c>
      <c r="U101" s="201">
        <v>890804</v>
      </c>
      <c r="V101" s="201">
        <v>890804</v>
      </c>
      <c r="W101" s="201">
        <v>890804</v>
      </c>
      <c r="X101" s="201">
        <v>890804</v>
      </c>
    </row>
    <row r="102" spans="2:24" ht="27" customHeight="1" x14ac:dyDescent="0.25">
      <c r="B102" s="25" t="s">
        <v>495</v>
      </c>
      <c r="C102" s="201">
        <v>1564249</v>
      </c>
      <c r="D102" s="201">
        <v>2177401</v>
      </c>
      <c r="E102" s="201">
        <v>1537482</v>
      </c>
      <c r="F102" s="201">
        <v>2355680</v>
      </c>
      <c r="G102" s="201">
        <v>2182819</v>
      </c>
      <c r="H102" s="201">
        <v>1600178</v>
      </c>
      <c r="I102" s="201">
        <v>1440661</v>
      </c>
      <c r="J102" s="201">
        <v>1990712</v>
      </c>
      <c r="K102" s="201">
        <v>1867781</v>
      </c>
      <c r="L102" s="201">
        <v>1409372</v>
      </c>
      <c r="M102" s="201">
        <v>825208</v>
      </c>
      <c r="N102" s="201">
        <v>827784</v>
      </c>
      <c r="O102" s="201">
        <v>2661596</v>
      </c>
      <c r="P102" s="201">
        <v>3332411</v>
      </c>
      <c r="Q102" s="201">
        <v>1680397</v>
      </c>
      <c r="R102" s="201">
        <v>1420751</v>
      </c>
      <c r="S102" s="201">
        <v>971314</v>
      </c>
      <c r="T102" s="201">
        <v>795731</v>
      </c>
      <c r="U102" s="201">
        <v>535757</v>
      </c>
      <c r="V102" s="201">
        <v>694972</v>
      </c>
      <c r="W102" s="201">
        <v>748540</v>
      </c>
      <c r="X102" s="201">
        <v>796441</v>
      </c>
    </row>
    <row r="103" spans="2:24" ht="27" customHeight="1" x14ac:dyDescent="0.25">
      <c r="I103" s="54"/>
    </row>
    <row r="104" spans="2:24" ht="27" customHeight="1" x14ac:dyDescent="0.25">
      <c r="I104" s="54"/>
    </row>
    <row r="105" spans="2:24" ht="27" customHeight="1" x14ac:dyDescent="0.25">
      <c r="C105" s="112">
        <f t="shared" ref="C105:H105" si="2">SUM(C11:C41)-C42</f>
        <v>0</v>
      </c>
      <c r="D105" s="112">
        <f t="shared" si="2"/>
        <v>0</v>
      </c>
      <c r="E105" s="112">
        <f t="shared" si="2"/>
        <v>0</v>
      </c>
      <c r="F105" s="112">
        <f t="shared" si="2"/>
        <v>0</v>
      </c>
      <c r="G105" s="112">
        <f t="shared" si="2"/>
        <v>0</v>
      </c>
      <c r="H105" s="112">
        <f t="shared" si="2"/>
        <v>0</v>
      </c>
      <c r="I105" s="112">
        <f t="shared" ref="I105:X105" si="3">SUM(I11:I41)-I42</f>
        <v>0</v>
      </c>
      <c r="J105" s="112">
        <f t="shared" si="3"/>
        <v>0</v>
      </c>
      <c r="K105" s="112">
        <f t="shared" si="3"/>
        <v>0</v>
      </c>
      <c r="L105" s="112">
        <f t="shared" si="3"/>
        <v>0</v>
      </c>
      <c r="M105" s="112">
        <f t="shared" si="3"/>
        <v>0</v>
      </c>
      <c r="N105" s="112">
        <f t="shared" si="3"/>
        <v>0</v>
      </c>
      <c r="O105" s="112">
        <f t="shared" si="3"/>
        <v>0</v>
      </c>
      <c r="P105" s="112">
        <f t="shared" si="3"/>
        <v>0</v>
      </c>
      <c r="Q105" s="112">
        <f t="shared" si="3"/>
        <v>0</v>
      </c>
      <c r="R105" s="112">
        <f t="shared" si="3"/>
        <v>0</v>
      </c>
      <c r="S105" s="112">
        <f t="shared" si="3"/>
        <v>0</v>
      </c>
      <c r="T105" s="112">
        <f t="shared" si="3"/>
        <v>0</v>
      </c>
      <c r="U105" s="112">
        <f t="shared" si="3"/>
        <v>0</v>
      </c>
      <c r="V105" s="112">
        <f t="shared" si="3"/>
        <v>0</v>
      </c>
      <c r="W105" s="112">
        <f t="shared" si="3"/>
        <v>0</v>
      </c>
      <c r="X105" s="112">
        <f t="shared" si="3"/>
        <v>0</v>
      </c>
    </row>
    <row r="106" spans="2:24" ht="27" customHeight="1" x14ac:dyDescent="0.25">
      <c r="C106" s="112">
        <f t="shared" ref="C106:H106" si="4">SUM(C44:C52)-C53</f>
        <v>0</v>
      </c>
      <c r="D106" s="112">
        <f t="shared" si="4"/>
        <v>0</v>
      </c>
      <c r="E106" s="112">
        <f t="shared" si="4"/>
        <v>0</v>
      </c>
      <c r="F106" s="112">
        <f t="shared" si="4"/>
        <v>0</v>
      </c>
      <c r="G106" s="112">
        <f t="shared" si="4"/>
        <v>0</v>
      </c>
      <c r="H106" s="112">
        <f t="shared" si="4"/>
        <v>0</v>
      </c>
      <c r="I106" s="112">
        <f t="shared" ref="I106:X106" si="5">SUM(I44:I52)-I53</f>
        <v>0</v>
      </c>
      <c r="J106" s="112">
        <f t="shared" si="5"/>
        <v>0</v>
      </c>
      <c r="K106" s="112">
        <f t="shared" si="5"/>
        <v>0</v>
      </c>
      <c r="L106" s="112">
        <f t="shared" si="5"/>
        <v>0</v>
      </c>
      <c r="M106" s="112">
        <f t="shared" si="5"/>
        <v>0</v>
      </c>
      <c r="N106" s="112">
        <f t="shared" si="5"/>
        <v>0</v>
      </c>
      <c r="O106" s="112">
        <f t="shared" si="5"/>
        <v>0</v>
      </c>
      <c r="P106" s="112">
        <f t="shared" si="5"/>
        <v>0</v>
      </c>
      <c r="Q106" s="112">
        <f t="shared" si="5"/>
        <v>0</v>
      </c>
      <c r="R106" s="112">
        <f t="shared" si="5"/>
        <v>0</v>
      </c>
      <c r="S106" s="112">
        <f t="shared" si="5"/>
        <v>0</v>
      </c>
      <c r="T106" s="112">
        <f t="shared" si="5"/>
        <v>0</v>
      </c>
      <c r="U106" s="112">
        <f t="shared" si="5"/>
        <v>0</v>
      </c>
      <c r="V106" s="112">
        <f t="shared" si="5"/>
        <v>0</v>
      </c>
      <c r="W106" s="112">
        <f t="shared" si="5"/>
        <v>0</v>
      </c>
      <c r="X106" s="112">
        <f t="shared" si="5"/>
        <v>0</v>
      </c>
    </row>
    <row r="107" spans="2:24" ht="27" customHeight="1" x14ac:dyDescent="0.25">
      <c r="C107" s="112">
        <f t="shared" ref="C107:H107" si="6">SUM(C55:C64)-C65</f>
        <v>0</v>
      </c>
      <c r="D107" s="112">
        <f t="shared" si="6"/>
        <v>0</v>
      </c>
      <c r="E107" s="112">
        <f t="shared" si="6"/>
        <v>0</v>
      </c>
      <c r="F107" s="112">
        <f t="shared" si="6"/>
        <v>0</v>
      </c>
      <c r="G107" s="112">
        <f t="shared" si="6"/>
        <v>0</v>
      </c>
      <c r="H107" s="112">
        <f t="shared" si="6"/>
        <v>0</v>
      </c>
      <c r="I107" s="112">
        <f t="shared" ref="I107:X107" si="7">SUM(I55:I64)-I65</f>
        <v>0</v>
      </c>
      <c r="J107" s="112">
        <f t="shared" si="7"/>
        <v>0</v>
      </c>
      <c r="K107" s="112">
        <f t="shared" si="7"/>
        <v>0</v>
      </c>
      <c r="L107" s="112">
        <f t="shared" si="7"/>
        <v>0</v>
      </c>
      <c r="M107" s="112">
        <f t="shared" si="7"/>
        <v>0</v>
      </c>
      <c r="N107" s="112">
        <f t="shared" si="7"/>
        <v>0</v>
      </c>
      <c r="O107" s="112">
        <f t="shared" si="7"/>
        <v>0</v>
      </c>
      <c r="P107" s="112">
        <f t="shared" si="7"/>
        <v>0</v>
      </c>
      <c r="Q107" s="112">
        <f t="shared" si="7"/>
        <v>0</v>
      </c>
      <c r="R107" s="112">
        <f t="shared" si="7"/>
        <v>0</v>
      </c>
      <c r="S107" s="112">
        <f t="shared" si="7"/>
        <v>0</v>
      </c>
      <c r="T107" s="112">
        <f t="shared" si="7"/>
        <v>0</v>
      </c>
      <c r="U107" s="112">
        <f t="shared" si="7"/>
        <v>0</v>
      </c>
      <c r="V107" s="112">
        <f t="shared" si="7"/>
        <v>0</v>
      </c>
      <c r="W107" s="112">
        <f t="shared" si="7"/>
        <v>0</v>
      </c>
      <c r="X107" s="112">
        <f t="shared" si="7"/>
        <v>0</v>
      </c>
    </row>
    <row r="108" spans="2:24" ht="27" customHeight="1" x14ac:dyDescent="0.25">
      <c r="C108" s="112">
        <f t="shared" ref="C108:H108" si="8">C42+C53+C65-C66</f>
        <v>0</v>
      </c>
      <c r="D108" s="112">
        <f t="shared" si="8"/>
        <v>0</v>
      </c>
      <c r="E108" s="112">
        <f t="shared" si="8"/>
        <v>0</v>
      </c>
      <c r="F108" s="112">
        <f t="shared" si="8"/>
        <v>0</v>
      </c>
      <c r="G108" s="112">
        <f t="shared" si="8"/>
        <v>0</v>
      </c>
      <c r="H108" s="112">
        <f t="shared" si="8"/>
        <v>0</v>
      </c>
      <c r="I108" s="112">
        <f t="shared" ref="I108:X108" si="9">I42+I53+I65-I66</f>
        <v>0</v>
      </c>
      <c r="J108" s="112">
        <f t="shared" si="9"/>
        <v>0</v>
      </c>
      <c r="K108" s="112">
        <f t="shared" si="9"/>
        <v>0</v>
      </c>
      <c r="L108" s="112">
        <f t="shared" si="9"/>
        <v>0</v>
      </c>
      <c r="M108" s="112">
        <f t="shared" si="9"/>
        <v>0</v>
      </c>
      <c r="N108" s="112">
        <f t="shared" si="9"/>
        <v>0</v>
      </c>
      <c r="O108" s="112">
        <f t="shared" si="9"/>
        <v>0</v>
      </c>
      <c r="P108" s="112">
        <f t="shared" si="9"/>
        <v>0</v>
      </c>
      <c r="Q108" s="112">
        <f t="shared" si="9"/>
        <v>0</v>
      </c>
      <c r="R108" s="112">
        <f t="shared" si="9"/>
        <v>0</v>
      </c>
      <c r="S108" s="112">
        <f t="shared" si="9"/>
        <v>0</v>
      </c>
      <c r="T108" s="112">
        <f t="shared" si="9"/>
        <v>0</v>
      </c>
      <c r="U108" s="112">
        <f t="shared" si="9"/>
        <v>0</v>
      </c>
      <c r="V108" s="112">
        <f t="shared" si="9"/>
        <v>0</v>
      </c>
      <c r="W108" s="112">
        <f t="shared" si="9"/>
        <v>0</v>
      </c>
      <c r="X108" s="112">
        <f t="shared" si="9"/>
        <v>0</v>
      </c>
    </row>
    <row r="109" spans="2:24" ht="27" customHeight="1" x14ac:dyDescent="0.25">
      <c r="C109" s="112">
        <f t="shared" ref="C109:H109" si="10">SUM(C66:C71)-C72</f>
        <v>0</v>
      </c>
      <c r="D109" s="112">
        <f t="shared" si="10"/>
        <v>0</v>
      </c>
      <c r="E109" s="112">
        <f t="shared" si="10"/>
        <v>0</v>
      </c>
      <c r="F109" s="112">
        <f t="shared" si="10"/>
        <v>0</v>
      </c>
      <c r="G109" s="112">
        <f t="shared" si="10"/>
        <v>0</v>
      </c>
      <c r="H109" s="112">
        <f t="shared" si="10"/>
        <v>0</v>
      </c>
      <c r="I109" s="112">
        <f t="shared" ref="I109:X109" si="11">SUM(I66:I71)-I72</f>
        <v>0</v>
      </c>
      <c r="J109" s="112">
        <f t="shared" si="11"/>
        <v>0</v>
      </c>
      <c r="K109" s="112">
        <f t="shared" si="11"/>
        <v>0</v>
      </c>
      <c r="L109" s="112">
        <f t="shared" si="11"/>
        <v>0</v>
      </c>
      <c r="M109" s="112">
        <f t="shared" si="11"/>
        <v>0</v>
      </c>
      <c r="N109" s="112">
        <f t="shared" si="11"/>
        <v>0</v>
      </c>
      <c r="O109" s="112">
        <f t="shared" si="11"/>
        <v>0</v>
      </c>
      <c r="P109" s="112">
        <f t="shared" si="11"/>
        <v>0</v>
      </c>
      <c r="Q109" s="112">
        <f t="shared" si="11"/>
        <v>0</v>
      </c>
      <c r="R109" s="112">
        <f t="shared" si="11"/>
        <v>0</v>
      </c>
      <c r="S109" s="112">
        <f t="shared" si="11"/>
        <v>0</v>
      </c>
      <c r="T109" s="112">
        <f t="shared" si="11"/>
        <v>0</v>
      </c>
      <c r="U109" s="112">
        <f t="shared" si="11"/>
        <v>0</v>
      </c>
      <c r="V109" s="112">
        <f t="shared" si="11"/>
        <v>0</v>
      </c>
      <c r="W109" s="112">
        <f t="shared" si="11"/>
        <v>0</v>
      </c>
      <c r="X109" s="112">
        <f t="shared" si="11"/>
        <v>0</v>
      </c>
    </row>
    <row r="110" spans="2:24" ht="27" customHeight="1" x14ac:dyDescent="0.25">
      <c r="C110" s="112">
        <f t="shared" ref="C110:H110" si="12">C72+C73-C74</f>
        <v>0</v>
      </c>
      <c r="D110" s="112">
        <f t="shared" si="12"/>
        <v>0</v>
      </c>
      <c r="E110" s="112" t="e">
        <f t="shared" si="12"/>
        <v>#VALUE!</v>
      </c>
      <c r="F110" s="112">
        <f t="shared" si="12"/>
        <v>0</v>
      </c>
      <c r="G110" s="112">
        <f t="shared" si="12"/>
        <v>0</v>
      </c>
      <c r="H110" s="112">
        <f t="shared" si="12"/>
        <v>0</v>
      </c>
      <c r="I110" s="112" t="e">
        <f t="shared" ref="I110:X110" si="13">I72+I73-I74</f>
        <v>#VALUE!</v>
      </c>
      <c r="J110" s="112" t="e">
        <f t="shared" si="13"/>
        <v>#VALUE!</v>
      </c>
      <c r="K110" s="112" t="e">
        <f t="shared" si="13"/>
        <v>#VALUE!</v>
      </c>
      <c r="L110" s="112" t="e">
        <f t="shared" si="13"/>
        <v>#VALUE!</v>
      </c>
      <c r="M110" s="112" t="e">
        <f t="shared" si="13"/>
        <v>#VALUE!</v>
      </c>
      <c r="N110" s="112" t="e">
        <f t="shared" si="13"/>
        <v>#VALUE!</v>
      </c>
      <c r="O110" s="112" t="e">
        <f t="shared" si="13"/>
        <v>#VALUE!</v>
      </c>
      <c r="P110" s="112" t="e">
        <f t="shared" si="13"/>
        <v>#VALUE!</v>
      </c>
      <c r="Q110" s="112" t="e">
        <f t="shared" si="13"/>
        <v>#VALUE!</v>
      </c>
      <c r="R110" s="112" t="e">
        <f t="shared" si="13"/>
        <v>#VALUE!</v>
      </c>
      <c r="S110" s="112" t="e">
        <f t="shared" si="13"/>
        <v>#VALUE!</v>
      </c>
      <c r="T110" s="112" t="e">
        <f t="shared" si="13"/>
        <v>#VALUE!</v>
      </c>
      <c r="U110" s="112">
        <f t="shared" si="13"/>
        <v>0</v>
      </c>
      <c r="V110" s="112">
        <f t="shared" si="13"/>
        <v>0</v>
      </c>
      <c r="W110" s="112" t="e">
        <f t="shared" si="13"/>
        <v>#VALUE!</v>
      </c>
      <c r="X110" s="112" t="e">
        <f t="shared" si="13"/>
        <v>#VALUE!</v>
      </c>
    </row>
    <row r="111" spans="2:24" ht="27" customHeight="1" x14ac:dyDescent="0.25">
      <c r="C111" s="112">
        <f t="shared" ref="C111:H111" si="14">SUM(C77:C89)-C90</f>
        <v>0</v>
      </c>
      <c r="D111" s="112">
        <f t="shared" si="14"/>
        <v>0</v>
      </c>
      <c r="E111" s="112">
        <f t="shared" si="14"/>
        <v>0</v>
      </c>
      <c r="F111" s="112">
        <f t="shared" si="14"/>
        <v>0</v>
      </c>
      <c r="G111" s="112">
        <f t="shared" si="14"/>
        <v>0</v>
      </c>
      <c r="H111" s="112">
        <f t="shared" si="14"/>
        <v>0</v>
      </c>
      <c r="I111" s="112">
        <f t="shared" ref="I111:X111" si="15">SUM(I77:I89)-I90</f>
        <v>0</v>
      </c>
      <c r="J111" s="112">
        <f t="shared" si="15"/>
        <v>0</v>
      </c>
      <c r="K111" s="112">
        <f t="shared" si="15"/>
        <v>0</v>
      </c>
      <c r="L111" s="112">
        <f t="shared" si="15"/>
        <v>0</v>
      </c>
      <c r="M111" s="112">
        <f t="shared" si="15"/>
        <v>0</v>
      </c>
      <c r="N111" s="112">
        <f t="shared" si="15"/>
        <v>0</v>
      </c>
      <c r="O111" s="112">
        <f t="shared" si="15"/>
        <v>0</v>
      </c>
      <c r="P111" s="112">
        <f t="shared" si="15"/>
        <v>0</v>
      </c>
      <c r="Q111" s="112">
        <f t="shared" si="15"/>
        <v>0</v>
      </c>
      <c r="R111" s="112">
        <f t="shared" si="15"/>
        <v>0</v>
      </c>
      <c r="S111" s="112">
        <f t="shared" si="15"/>
        <v>0</v>
      </c>
      <c r="T111" s="112">
        <f t="shared" si="15"/>
        <v>0</v>
      </c>
      <c r="U111" s="112">
        <f t="shared" si="15"/>
        <v>0</v>
      </c>
      <c r="V111" s="112">
        <f t="shared" si="15"/>
        <v>0</v>
      </c>
      <c r="W111" s="112">
        <f t="shared" si="15"/>
        <v>0</v>
      </c>
      <c r="X111" s="112">
        <f t="shared" si="15"/>
        <v>0</v>
      </c>
    </row>
    <row r="112" spans="2:24" ht="27" customHeight="1" x14ac:dyDescent="0.25">
      <c r="C112" s="112">
        <f t="shared" ref="C112:H112" si="16">C90+C91-C92</f>
        <v>0</v>
      </c>
      <c r="D112" s="112">
        <f t="shared" si="16"/>
        <v>0</v>
      </c>
      <c r="E112" s="112" t="e">
        <f t="shared" si="16"/>
        <v>#VALUE!</v>
      </c>
      <c r="F112" s="112">
        <f t="shared" si="16"/>
        <v>0</v>
      </c>
      <c r="G112" s="112">
        <f t="shared" si="16"/>
        <v>0</v>
      </c>
      <c r="H112" s="112">
        <f t="shared" si="16"/>
        <v>0</v>
      </c>
      <c r="I112" s="112">
        <f t="shared" ref="I112:X112" si="17">I90+I91-I92</f>
        <v>0</v>
      </c>
      <c r="J112" s="112">
        <f t="shared" si="17"/>
        <v>0</v>
      </c>
      <c r="K112" s="112">
        <f t="shared" si="17"/>
        <v>0</v>
      </c>
      <c r="L112" s="112">
        <f t="shared" si="17"/>
        <v>0</v>
      </c>
      <c r="M112" s="112">
        <f t="shared" si="17"/>
        <v>0</v>
      </c>
      <c r="N112" s="112">
        <f t="shared" si="17"/>
        <v>0</v>
      </c>
      <c r="O112" s="112">
        <f t="shared" si="17"/>
        <v>0</v>
      </c>
      <c r="P112" s="112">
        <f t="shared" si="17"/>
        <v>0</v>
      </c>
      <c r="Q112" s="112">
        <f t="shared" si="17"/>
        <v>0</v>
      </c>
      <c r="R112" s="112">
        <f t="shared" si="17"/>
        <v>0</v>
      </c>
      <c r="S112" s="112">
        <f t="shared" si="17"/>
        <v>0</v>
      </c>
      <c r="T112" s="112">
        <f t="shared" si="17"/>
        <v>0</v>
      </c>
      <c r="U112" s="112">
        <f t="shared" si="17"/>
        <v>0</v>
      </c>
      <c r="V112" s="112">
        <f t="shared" si="17"/>
        <v>0</v>
      </c>
      <c r="W112" s="112">
        <f t="shared" si="17"/>
        <v>0</v>
      </c>
      <c r="X112" s="112">
        <f t="shared" si="17"/>
        <v>0</v>
      </c>
    </row>
    <row r="113" spans="3:24" ht="27" customHeight="1" x14ac:dyDescent="0.25">
      <c r="C113" s="112">
        <f t="shared" ref="C113:H113" si="18">SUM(C95:C98)-C99</f>
        <v>0</v>
      </c>
      <c r="D113" s="112">
        <f t="shared" si="18"/>
        <v>0</v>
      </c>
      <c r="E113" s="112">
        <f t="shared" si="18"/>
        <v>0</v>
      </c>
      <c r="F113" s="112">
        <f t="shared" si="18"/>
        <v>0</v>
      </c>
      <c r="G113" s="112">
        <f t="shared" si="18"/>
        <v>0</v>
      </c>
      <c r="H113" s="112">
        <f t="shared" si="18"/>
        <v>0</v>
      </c>
      <c r="I113" s="112">
        <f t="shared" ref="I113:X113" si="19">SUM(I95:I98)-I99</f>
        <v>0</v>
      </c>
      <c r="J113" s="112">
        <f t="shared" si="19"/>
        <v>0</v>
      </c>
      <c r="K113" s="112">
        <f t="shared" si="19"/>
        <v>0</v>
      </c>
      <c r="L113" s="112">
        <f t="shared" si="19"/>
        <v>0</v>
      </c>
      <c r="M113" s="112">
        <f t="shared" si="19"/>
        <v>0</v>
      </c>
      <c r="N113" s="112">
        <f t="shared" si="19"/>
        <v>0</v>
      </c>
      <c r="O113" s="112">
        <f t="shared" si="19"/>
        <v>0</v>
      </c>
      <c r="P113" s="112">
        <f t="shared" si="19"/>
        <v>0</v>
      </c>
      <c r="Q113" s="112">
        <f t="shared" si="19"/>
        <v>0</v>
      </c>
      <c r="R113" s="112">
        <f t="shared" si="19"/>
        <v>0</v>
      </c>
      <c r="S113" s="112">
        <f t="shared" si="19"/>
        <v>0</v>
      </c>
      <c r="T113" s="112">
        <f t="shared" si="19"/>
        <v>0</v>
      </c>
      <c r="U113" s="112">
        <f t="shared" si="19"/>
        <v>0</v>
      </c>
      <c r="V113" s="112">
        <f t="shared" si="19"/>
        <v>0</v>
      </c>
      <c r="W113" s="112">
        <f t="shared" si="19"/>
        <v>0</v>
      </c>
      <c r="X113" s="112">
        <f t="shared" si="19"/>
        <v>0</v>
      </c>
    </row>
    <row r="114" spans="3:24" ht="27" customHeight="1" x14ac:dyDescent="0.25">
      <c r="C114" s="112">
        <f t="shared" ref="C114:H114" si="20">C102-C101-C100</f>
        <v>0</v>
      </c>
      <c r="D114" s="112">
        <f t="shared" si="20"/>
        <v>0</v>
      </c>
      <c r="E114" s="112">
        <f t="shared" si="20"/>
        <v>0</v>
      </c>
      <c r="F114" s="112">
        <f t="shared" si="20"/>
        <v>0</v>
      </c>
      <c r="G114" s="112">
        <f t="shared" si="20"/>
        <v>0</v>
      </c>
      <c r="H114" s="112">
        <f t="shared" si="20"/>
        <v>0</v>
      </c>
      <c r="I114" s="112">
        <f t="shared" ref="I114:X114" si="21">I102-I101-I100</f>
        <v>0</v>
      </c>
      <c r="J114" s="112">
        <f t="shared" si="21"/>
        <v>0</v>
      </c>
      <c r="K114" s="112">
        <f t="shared" si="21"/>
        <v>0</v>
      </c>
      <c r="L114" s="112">
        <f t="shared" si="21"/>
        <v>0</v>
      </c>
      <c r="M114" s="112">
        <f t="shared" si="21"/>
        <v>0</v>
      </c>
      <c r="N114" s="112">
        <f t="shared" si="21"/>
        <v>0</v>
      </c>
      <c r="O114" s="112">
        <f t="shared" si="21"/>
        <v>0</v>
      </c>
      <c r="P114" s="112">
        <f t="shared" si="21"/>
        <v>0</v>
      </c>
      <c r="Q114" s="112">
        <f t="shared" si="21"/>
        <v>0</v>
      </c>
      <c r="R114" s="112">
        <f t="shared" si="21"/>
        <v>0</v>
      </c>
      <c r="S114" s="112">
        <f t="shared" si="21"/>
        <v>0</v>
      </c>
      <c r="T114" s="112">
        <f t="shared" si="21"/>
        <v>0</v>
      </c>
      <c r="U114" s="112">
        <f t="shared" si="21"/>
        <v>0</v>
      </c>
      <c r="V114" s="112">
        <f t="shared" si="21"/>
        <v>0</v>
      </c>
      <c r="W114" s="112">
        <f t="shared" si="21"/>
        <v>0</v>
      </c>
      <c r="X114" s="112">
        <f t="shared" si="21"/>
        <v>0</v>
      </c>
    </row>
    <row r="115" spans="3:24" ht="27" customHeight="1" x14ac:dyDescent="0.25">
      <c r="C115" s="112">
        <f>C102-'BP (Ativo)'!C12</f>
        <v>0</v>
      </c>
      <c r="D115" s="112">
        <f>D102-'BP (Ativo)'!D12</f>
        <v>0</v>
      </c>
      <c r="E115" s="112">
        <f>E102-'BP (Ativo)'!E12</f>
        <v>0</v>
      </c>
      <c r="F115" s="112">
        <f>F102-'BP (Ativo)'!F12</f>
        <v>0</v>
      </c>
      <c r="G115" s="112">
        <f>G102-'BP (Ativo)'!G12</f>
        <v>0</v>
      </c>
      <c r="H115" s="112">
        <f>H102-'BP (Ativo)'!H12</f>
        <v>0</v>
      </c>
      <c r="I115" s="112">
        <f>I102-'BP (Ativo)'!I12</f>
        <v>0</v>
      </c>
      <c r="J115" s="112">
        <f>J102-'BP (Ativo)'!J12</f>
        <v>0</v>
      </c>
      <c r="K115" s="112">
        <f>K102-'BP (Ativo)'!K12</f>
        <v>0</v>
      </c>
      <c r="L115" s="112">
        <f>L102-'BP (Ativo)'!L12</f>
        <v>0</v>
      </c>
      <c r="M115" s="112">
        <f>M102-'BP (Ativo)'!M12</f>
        <v>0</v>
      </c>
      <c r="N115" s="112">
        <f>N102-'BP (Ativo)'!N12</f>
        <v>0</v>
      </c>
      <c r="O115" s="112">
        <f>O102-'BP (Ativo)'!O12</f>
        <v>0</v>
      </c>
      <c r="P115" s="112">
        <f>P102-'BP (Ativo)'!P12</f>
        <v>0</v>
      </c>
      <c r="Q115" s="112">
        <f>Q102-'BP (Ativo)'!Q12</f>
        <v>0</v>
      </c>
      <c r="R115" s="112">
        <f>R102-'BP (Ativo)'!R12</f>
        <v>0</v>
      </c>
      <c r="S115" s="112">
        <f>S102-'BP (Ativo)'!S12</f>
        <v>0</v>
      </c>
      <c r="T115" s="112">
        <f>T102-'BP (Ativo)'!T12</f>
        <v>0</v>
      </c>
      <c r="U115" s="112">
        <f>U102-'BP (Ativo)'!U12</f>
        <v>0</v>
      </c>
      <c r="V115" s="112">
        <f>V102-'BP (Ativo)'!V12</f>
        <v>0</v>
      </c>
      <c r="W115" s="112">
        <f>W102-'BP (Ativo)'!W12</f>
        <v>0</v>
      </c>
      <c r="X115" s="112" t="e">
        <f>X102-'BP (Ativo)'!#REF!</f>
        <v>#REF!</v>
      </c>
    </row>
    <row r="116" spans="3:24" ht="27" customHeight="1" x14ac:dyDescent="0.25">
      <c r="C116" s="112">
        <f t="shared" ref="C116:H116" si="22">C42+C53+C65-C66</f>
        <v>0</v>
      </c>
      <c r="D116" s="112">
        <f t="shared" si="22"/>
        <v>0</v>
      </c>
      <c r="E116" s="112">
        <f t="shared" si="22"/>
        <v>0</v>
      </c>
      <c r="F116" s="112">
        <f t="shared" si="22"/>
        <v>0</v>
      </c>
      <c r="G116" s="112">
        <f t="shared" si="22"/>
        <v>0</v>
      </c>
      <c r="H116" s="112">
        <f t="shared" si="22"/>
        <v>0</v>
      </c>
      <c r="I116" s="112">
        <f t="shared" ref="I116:X116" si="23">I42+I53+I65-I66</f>
        <v>0</v>
      </c>
      <c r="J116" s="112">
        <f t="shared" si="23"/>
        <v>0</v>
      </c>
      <c r="K116" s="112">
        <f t="shared" si="23"/>
        <v>0</v>
      </c>
      <c r="L116" s="112">
        <f t="shared" si="23"/>
        <v>0</v>
      </c>
      <c r="M116" s="112">
        <f t="shared" si="23"/>
        <v>0</v>
      </c>
      <c r="N116" s="112">
        <f t="shared" si="23"/>
        <v>0</v>
      </c>
      <c r="O116" s="112">
        <f t="shared" si="23"/>
        <v>0</v>
      </c>
      <c r="P116" s="112">
        <f t="shared" si="23"/>
        <v>0</v>
      </c>
      <c r="Q116" s="112">
        <f t="shared" si="23"/>
        <v>0</v>
      </c>
      <c r="R116" s="112">
        <f t="shared" si="23"/>
        <v>0</v>
      </c>
      <c r="S116" s="112">
        <f t="shared" si="23"/>
        <v>0</v>
      </c>
      <c r="T116" s="112">
        <f t="shared" si="23"/>
        <v>0</v>
      </c>
      <c r="U116" s="112">
        <f t="shared" si="23"/>
        <v>0</v>
      </c>
      <c r="V116" s="112">
        <f t="shared" si="23"/>
        <v>0</v>
      </c>
      <c r="W116" s="112">
        <f t="shared" si="23"/>
        <v>0</v>
      </c>
      <c r="X116" s="112">
        <f t="shared" si="23"/>
        <v>0</v>
      </c>
    </row>
    <row r="117" spans="3:24" ht="27" customHeight="1" x14ac:dyDescent="0.25">
      <c r="C117" s="112">
        <f t="shared" ref="C117:H117" si="24">+C74+C92+C99-C100</f>
        <v>0</v>
      </c>
      <c r="D117" s="112">
        <f t="shared" si="24"/>
        <v>0</v>
      </c>
      <c r="E117" s="112">
        <f t="shared" si="24"/>
        <v>0</v>
      </c>
      <c r="F117" s="112">
        <f t="shared" si="24"/>
        <v>0</v>
      </c>
      <c r="G117" s="112">
        <f t="shared" si="24"/>
        <v>0</v>
      </c>
      <c r="H117" s="112">
        <f t="shared" si="24"/>
        <v>0</v>
      </c>
      <c r="I117" s="112">
        <f t="shared" ref="I117:X117" si="25">+I74+I92+I99-I100</f>
        <v>0</v>
      </c>
      <c r="J117" s="112">
        <f t="shared" si="25"/>
        <v>0</v>
      </c>
      <c r="K117" s="112">
        <f t="shared" si="25"/>
        <v>0</v>
      </c>
      <c r="L117" s="112">
        <f t="shared" si="25"/>
        <v>0</v>
      </c>
      <c r="M117" s="112">
        <f t="shared" si="25"/>
        <v>0</v>
      </c>
      <c r="N117" s="112">
        <f t="shared" si="25"/>
        <v>0</v>
      </c>
      <c r="O117" s="112">
        <f t="shared" si="25"/>
        <v>0</v>
      </c>
      <c r="P117" s="112">
        <f t="shared" si="25"/>
        <v>0</v>
      </c>
      <c r="Q117" s="112">
        <f t="shared" si="25"/>
        <v>0</v>
      </c>
      <c r="R117" s="112">
        <f t="shared" si="25"/>
        <v>0</v>
      </c>
      <c r="S117" s="112">
        <f t="shared" si="25"/>
        <v>0</v>
      </c>
      <c r="T117" s="112">
        <f t="shared" si="25"/>
        <v>0</v>
      </c>
      <c r="U117" s="112">
        <f t="shared" si="25"/>
        <v>0</v>
      </c>
      <c r="V117" s="112">
        <f t="shared" si="25"/>
        <v>0</v>
      </c>
      <c r="W117" s="112">
        <f t="shared" si="25"/>
        <v>0</v>
      </c>
      <c r="X117" s="112">
        <f t="shared" si="25"/>
        <v>0</v>
      </c>
    </row>
    <row r="118" spans="3:24" ht="27" customHeight="1" x14ac:dyDescent="0.25">
      <c r="I118" s="54"/>
    </row>
    <row r="119" spans="3:24" ht="27" customHeight="1" x14ac:dyDescent="0.25">
      <c r="I119" s="54"/>
    </row>
    <row r="120" spans="3:24" ht="27" customHeight="1" x14ac:dyDescent="0.25">
      <c r="I120" s="54"/>
    </row>
  </sheetData>
  <mergeCells count="1">
    <mergeCell ref="B7:H7"/>
  </mergeCells>
  <conditionalFormatting sqref="B10:X102">
    <cfRule type="expression" dxfId="1" priority="23">
      <formula>MOD(ROW(),2)=0</formula>
    </cfRule>
  </conditionalFormatting>
  <conditionalFormatting sqref="C105:X117">
    <cfRule type="cellIs" dxfId="0" priority="5" operator="not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r:id="rId1"/>
  <headerFooter>
    <oddFooter>&amp;R_x000D_&amp;1#&amp;"Calibri"&amp;10&amp;K000000 Classificação: Público</oddFooter>
  </headerFooter>
  <ignoredErrors>
    <ignoredError sqref="I110:T110 W110:X110" evalError="1"/>
    <ignoredError sqref="I109:X109" formulaRange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Planilha21"/>
  <dimension ref="B8:E34"/>
  <sheetViews>
    <sheetView showGridLines="0" showRowColHeaders="0" zoomScale="85" zoomScaleNormal="85" workbookViewId="0"/>
  </sheetViews>
  <sheetFormatPr defaultColWidth="8.7109375" defaultRowHeight="15" x14ac:dyDescent="0.25"/>
  <cols>
    <col min="1" max="1" width="9.85546875" customWidth="1"/>
    <col min="2" max="2" width="67.5703125" customWidth="1"/>
    <col min="3" max="4" width="12.140625" customWidth="1"/>
    <col min="5" max="5" width="10.85546875" customWidth="1"/>
    <col min="6" max="6" width="8.7109375" customWidth="1"/>
    <col min="7" max="7" width="54.7109375" customWidth="1"/>
  </cols>
  <sheetData>
    <row r="8" spans="2:5" ht="18.75" x14ac:dyDescent="0.25">
      <c r="B8" s="59"/>
      <c r="C8" s="15"/>
      <c r="D8" s="15"/>
    </row>
    <row r="9" spans="2:5" x14ac:dyDescent="0.25">
      <c r="B9" s="60" t="s">
        <v>496</v>
      </c>
      <c r="C9" s="321">
        <v>45444</v>
      </c>
      <c r="D9" s="322">
        <v>2023</v>
      </c>
      <c r="E9" s="322" t="s">
        <v>497</v>
      </c>
    </row>
    <row r="10" spans="2:5" ht="15.75" thickBot="1" x14ac:dyDescent="0.3">
      <c r="B10" s="36"/>
      <c r="C10" s="36"/>
      <c r="D10" s="36"/>
      <c r="E10" s="36"/>
    </row>
    <row r="11" spans="2:5" ht="15.75" thickBot="1" x14ac:dyDescent="0.3">
      <c r="B11" s="404" t="s">
        <v>498</v>
      </c>
      <c r="C11" s="404"/>
      <c r="D11" s="404"/>
      <c r="E11" s="404"/>
    </row>
    <row r="12" spans="2:5" x14ac:dyDescent="0.25">
      <c r="B12" s="79" t="s">
        <v>499</v>
      </c>
      <c r="C12" s="83">
        <v>9.89</v>
      </c>
      <c r="D12" s="83">
        <v>8.42</v>
      </c>
      <c r="E12" s="117">
        <v>0.17480000000000001</v>
      </c>
    </row>
    <row r="13" spans="2:5" x14ac:dyDescent="0.25">
      <c r="B13" s="79" t="s">
        <v>500</v>
      </c>
      <c r="C13" s="83">
        <v>12.22</v>
      </c>
      <c r="D13" s="83">
        <v>11.18</v>
      </c>
      <c r="E13" s="117">
        <v>9.3299999999999994E-2</v>
      </c>
    </row>
    <row r="14" spans="2:5" x14ac:dyDescent="0.25">
      <c r="B14" s="79" t="s">
        <v>501</v>
      </c>
      <c r="C14" s="83">
        <v>1.73</v>
      </c>
      <c r="D14" s="83">
        <v>1.69</v>
      </c>
      <c r="E14" s="117">
        <v>2.4500000000000001E-2</v>
      </c>
    </row>
    <row r="15" spans="2:5" x14ac:dyDescent="0.25">
      <c r="B15" s="79" t="s">
        <v>502</v>
      </c>
      <c r="C15" s="83">
        <v>2.38</v>
      </c>
      <c r="D15" s="83">
        <v>3.12</v>
      </c>
      <c r="E15" s="117">
        <v>-0.23719999999999999</v>
      </c>
    </row>
    <row r="16" spans="2:5" ht="15.75" thickBot="1" x14ac:dyDescent="0.3">
      <c r="B16" s="79" t="s">
        <v>503</v>
      </c>
      <c r="C16" s="80">
        <v>2.36</v>
      </c>
      <c r="D16" s="81">
        <v>1.88</v>
      </c>
      <c r="E16" s="117">
        <v>0.25530000000000003</v>
      </c>
    </row>
    <row r="17" spans="2:5" ht="15.75" thickBot="1" x14ac:dyDescent="0.3">
      <c r="B17" s="404" t="s">
        <v>504</v>
      </c>
      <c r="C17" s="404"/>
      <c r="D17" s="404"/>
      <c r="E17" s="404"/>
    </row>
    <row r="18" spans="2:5" x14ac:dyDescent="0.25">
      <c r="B18" s="79" t="s">
        <v>505</v>
      </c>
      <c r="C18" s="82">
        <v>141.46</v>
      </c>
      <c r="D18" s="83">
        <v>131.35</v>
      </c>
      <c r="E18" s="117">
        <v>7.6999999999999999E-2</v>
      </c>
    </row>
    <row r="19" spans="2:5" x14ac:dyDescent="0.25">
      <c r="B19" s="79" t="s">
        <v>506</v>
      </c>
      <c r="C19" s="83">
        <v>4.8499999999999996</v>
      </c>
      <c r="D19" s="83">
        <v>7.82</v>
      </c>
      <c r="E19" s="117">
        <v>-0.37980000000000003</v>
      </c>
    </row>
    <row r="20" spans="2:5" x14ac:dyDescent="0.25">
      <c r="B20" s="79" t="s">
        <v>507</v>
      </c>
      <c r="C20" s="83">
        <v>5.03</v>
      </c>
      <c r="D20" s="83">
        <v>8.98</v>
      </c>
      <c r="E20" s="117">
        <v>-0.43990000000000001</v>
      </c>
    </row>
    <row r="21" spans="2:5" ht="15.75" thickBot="1" x14ac:dyDescent="0.3">
      <c r="B21" s="79" t="s">
        <v>508</v>
      </c>
      <c r="C21" s="83">
        <v>0.56000000000000005</v>
      </c>
      <c r="D21" s="83">
        <v>0.17</v>
      </c>
      <c r="E21" s="117">
        <v>2.2940999999999998</v>
      </c>
    </row>
    <row r="22" spans="2:5" ht="15.75" thickBot="1" x14ac:dyDescent="0.3">
      <c r="B22" s="404" t="s">
        <v>509</v>
      </c>
      <c r="C22" s="404"/>
      <c r="D22" s="404"/>
      <c r="E22" s="404"/>
    </row>
    <row r="23" spans="2:5" x14ac:dyDescent="0.25">
      <c r="B23" s="84" t="s">
        <v>510</v>
      </c>
      <c r="C23" s="85">
        <v>88289</v>
      </c>
      <c r="D23" s="85">
        <v>94957</v>
      </c>
      <c r="E23" s="117">
        <v>-7.0199999999999999E-2</v>
      </c>
    </row>
    <row r="24" spans="2:5" x14ac:dyDescent="0.25">
      <c r="B24" s="84" t="s">
        <v>511</v>
      </c>
      <c r="C24" s="85">
        <v>123907</v>
      </c>
      <c r="D24" s="85">
        <v>134185</v>
      </c>
      <c r="E24" s="117">
        <v>-7.6600000000000001E-2</v>
      </c>
    </row>
    <row r="25" spans="2:5" ht="15.75" thickBot="1" x14ac:dyDescent="0.3">
      <c r="B25" s="84" t="s">
        <v>512</v>
      </c>
      <c r="C25" s="85">
        <v>39119</v>
      </c>
      <c r="D25" s="85">
        <v>37689</v>
      </c>
      <c r="E25" s="117">
        <v>3.7900000000000003E-2</v>
      </c>
    </row>
    <row r="26" spans="2:5" ht="15.75" thickBot="1" x14ac:dyDescent="0.3">
      <c r="B26" s="404" t="s">
        <v>513</v>
      </c>
      <c r="C26" s="404"/>
      <c r="D26" s="404"/>
      <c r="E26" s="404"/>
    </row>
    <row r="27" spans="2:5" x14ac:dyDescent="0.25">
      <c r="B27" s="86" t="s">
        <v>514</v>
      </c>
      <c r="C27" s="186">
        <v>30521</v>
      </c>
      <c r="D27" s="87">
        <v>27948</v>
      </c>
      <c r="E27" s="117">
        <v>9.2100000000000001E-2</v>
      </c>
    </row>
    <row r="28" spans="2:5" x14ac:dyDescent="0.25">
      <c r="B28" s="84" t="s">
        <v>515</v>
      </c>
      <c r="C28" s="186">
        <v>37675</v>
      </c>
      <c r="D28" s="87">
        <v>35892</v>
      </c>
      <c r="E28" s="117">
        <v>4.9700000000000001E-2</v>
      </c>
    </row>
    <row r="29" spans="2:5" x14ac:dyDescent="0.25">
      <c r="B29" s="84" t="s">
        <v>516</v>
      </c>
      <c r="C29" s="187">
        <v>10.92</v>
      </c>
      <c r="D29" s="83">
        <v>11.24</v>
      </c>
      <c r="E29" s="88" t="s">
        <v>592</v>
      </c>
    </row>
    <row r="30" spans="2:5" ht="15.75" thickBot="1" x14ac:dyDescent="0.3">
      <c r="B30" s="89" t="s">
        <v>517</v>
      </c>
      <c r="C30" s="188" t="s">
        <v>593</v>
      </c>
      <c r="D30" s="90">
        <v>8.5299999999999994</v>
      </c>
      <c r="E30" s="91" t="s">
        <v>594</v>
      </c>
    </row>
    <row r="31" spans="2:5" x14ac:dyDescent="0.25">
      <c r="B31" s="84"/>
      <c r="C31" s="80"/>
      <c r="D31" s="80"/>
      <c r="E31" s="88"/>
    </row>
    <row r="32" spans="2:5" x14ac:dyDescent="0.25">
      <c r="B32" s="403" t="s">
        <v>518</v>
      </c>
      <c r="C32" s="403"/>
      <c r="D32" s="403"/>
      <c r="E32" s="403"/>
    </row>
    <row r="33" spans="2:5" x14ac:dyDescent="0.25">
      <c r="B33" s="403" t="s">
        <v>519</v>
      </c>
      <c r="C33" s="403"/>
      <c r="D33" s="403"/>
      <c r="E33" s="403"/>
    </row>
    <row r="34" spans="2:5" x14ac:dyDescent="0.25">
      <c r="B34" s="403" t="s">
        <v>520</v>
      </c>
      <c r="C34" s="403"/>
      <c r="D34" s="403"/>
      <c r="E34" s="403"/>
    </row>
  </sheetData>
  <mergeCells count="7">
    <mergeCell ref="B32:E32"/>
    <mergeCell ref="B33:E33"/>
    <mergeCell ref="B34:E34"/>
    <mergeCell ref="B11:E11"/>
    <mergeCell ref="B17:E17"/>
    <mergeCell ref="B22:E22"/>
    <mergeCell ref="B26:E26"/>
  </mergeCells>
  <pageMargins left="0.511811024" right="0.511811024" top="0.78740157499999996" bottom="0.78740157499999996" header="0.31496062000000002" footer="0.31496062000000002"/>
  <pageSetup paperSize="9" orientation="portrait" r:id="rId1"/>
  <headerFooter>
    <oddFooter>&amp;R_x000D_&amp;1#&amp;"Calibri"&amp;10&amp;K000000 Classificação: Público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B725659268684A8C3698EDD7A4A760" ma:contentTypeVersion="12" ma:contentTypeDescription="Crie um novo documento." ma:contentTypeScope="" ma:versionID="cbcb1d356e3069bc31187a4cae2aba4b">
  <xsd:schema xmlns:xsd="http://www.w3.org/2001/XMLSchema" xmlns:xs="http://www.w3.org/2001/XMLSchema" xmlns:p="http://schemas.microsoft.com/office/2006/metadata/properties" xmlns:ns2="dd672efd-914e-43b9-8a12-d5de897e3e13" xmlns:ns3="965a5651-c003-4491-8bb4-cf333821dd20" targetNamespace="http://schemas.microsoft.com/office/2006/metadata/properties" ma:root="true" ma:fieldsID="67f78c66ffc8b01b913b04a20d0ea360" ns2:_="" ns3:_="">
    <xsd:import namespace="dd672efd-914e-43b9-8a12-d5de897e3e13"/>
    <xsd:import namespace="965a5651-c003-4491-8bb4-cf333821dd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672efd-914e-43b9-8a12-d5de897e3e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8ba655b3-91bc-415c-bde2-f58ae48cbc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5a5651-c003-4491-8bb4-cf333821dd20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1043a09-3a06-4711-81f7-8c54c6ac56d6}" ma:internalName="TaxCatchAll" ma:showField="CatchAllData" ma:web="965a5651-c003-4491-8bb4-cf333821dd2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65a5651-c003-4491-8bb4-cf333821dd20" xsi:nil="true"/>
    <lcf76f155ced4ddcb4097134ff3c332f xmlns="dd672efd-914e-43b9-8a12-d5de897e3e13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CE3BCC-AD06-485F-8812-8D94505602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672efd-914e-43b9-8a12-d5de897e3e13"/>
    <ds:schemaRef ds:uri="965a5651-c003-4491-8bb4-cf333821dd2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EAF2AD7-7310-4AFC-87B9-F10CA69323F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C7E568-418B-477F-A542-A3D62E952D8F}">
  <ds:schemaRefs>
    <ds:schemaRef ds:uri="965a5651-c003-4491-8bb4-cf333821dd20"/>
    <ds:schemaRef ds:uri="http://purl.org/dc/terms/"/>
    <ds:schemaRef ds:uri="dd672efd-914e-43b9-8a12-d5de897e3e13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docMetadata/LabelInfo.xml><?xml version="1.0" encoding="utf-8"?>
<clbl:labelList xmlns:clbl="http://schemas.microsoft.com/office/2020/mipLabelMetadata">
  <clbl:label id="{7158201a-9c91-4077-8c8c-35afb0b2b6e2}" enabled="1" method="Privileged" siteId="{97ce2340-9c1d-45b1-a835-7ea811b6fe9a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5</vt:i4>
      </vt:variant>
    </vt:vector>
  </HeadingPairs>
  <TitlesOfParts>
    <vt:vector size="25" baseType="lpstr">
      <vt:lpstr>Cemig (Sumário)</vt:lpstr>
      <vt:lpstr>RAP</vt:lpstr>
      <vt:lpstr>Usinas</vt:lpstr>
      <vt:lpstr>Balanço de Energia</vt:lpstr>
      <vt:lpstr>Venda de energia por classe</vt:lpstr>
      <vt:lpstr>Perdas de Energia</vt:lpstr>
      <vt:lpstr>DEC _ FEC</vt:lpstr>
      <vt:lpstr>Taxa de arrecadação</vt:lpstr>
      <vt:lpstr>Receita</vt:lpstr>
      <vt:lpstr>Custos e Despesas</vt:lpstr>
      <vt:lpstr>Energia comprada para revenda</vt:lpstr>
      <vt:lpstr>Resultado Financeiro</vt:lpstr>
      <vt:lpstr>Endividamento</vt:lpstr>
      <vt:lpstr>Investimentos</vt:lpstr>
      <vt:lpstr>BP (Ativo)</vt:lpstr>
      <vt:lpstr>BP (Passivo)</vt:lpstr>
      <vt:lpstr>LAJIDA</vt:lpstr>
      <vt:lpstr>DRE</vt:lpstr>
      <vt:lpstr>DFC</vt:lpstr>
      <vt:lpstr>Desempenhos das ações</vt:lpstr>
      <vt:lpstr>'Custos e Despesas'!_Hlk160453777</vt:lpstr>
      <vt:lpstr>'Energia comprada para revenda'!_Toc223922453</vt:lpstr>
      <vt:lpstr>DFC!_Toc229977613</vt:lpstr>
      <vt:lpstr>'BP (Passivo)'!_Toc282006926</vt:lpstr>
      <vt:lpstr>'BP (Passivo)'!_Toc282006927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Dell</dc:creator>
  <cp:keywords/>
  <dc:description/>
  <cp:lastModifiedBy>c056925</cp:lastModifiedBy>
  <cp:revision/>
  <dcterms:created xsi:type="dcterms:W3CDTF">2020-11-04T13:02:04Z</dcterms:created>
  <dcterms:modified xsi:type="dcterms:W3CDTF">2024-08-13T22:52:34Z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coUpdateId">
    <vt:lpwstr>1367614967</vt:lpwstr>
  </property>
  <property fmtid="{D5CDD505-2E9C-101B-9397-08002B2CF9AE}" pid="3" name="EcoUpdateMessage">
    <vt:lpwstr>2023/05/03-21:02:47</vt:lpwstr>
  </property>
  <property fmtid="{D5CDD505-2E9C-101B-9397-08002B2CF9AE}" pid="4" name="EcoUpdateStatus">
    <vt:lpwstr>2023-05-02=BRA:St,Fd,TP;ARG:St,ME,Fd,TP;CHL:ME,Fd;GBR:St,ME;COL:St,ME,Fd;PER:St,ME,Fd|2023-05-03=BRA:ME;USA:St,ME;MEX:St,ME,Fd,TP;CHL:St|2022-10-17=USA:TP|2021-11-17=CHL:TP|2014-02-26=VEN:St|2002-11-08=JPN:St|2016-08-18=NNN:St|2023-05-01=PER:TP|2007-01-31=ESP:St|2003-01-29=CHN:St|2003-01-28=TWN:St|2003-01-30=HKG:St;KOR:St|2023-01-19=OTH:St</vt:lpwstr>
  </property>
  <property fmtid="{D5CDD505-2E9C-101B-9397-08002B2CF9AE}" pid="5" name="ContentTypeId">
    <vt:lpwstr>0x010100F4B725659268684A8C3698EDD7A4A760</vt:lpwstr>
  </property>
  <property fmtid="{D5CDD505-2E9C-101B-9397-08002B2CF9AE}" pid="6" name="MediaServiceImageTags">
    <vt:lpwstr/>
  </property>
</Properties>
</file>